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510"/>
  </bookViews>
  <sheets>
    <sheet name="Return on Investment" sheetId="6" r:id="rId1"/>
    <sheet name="Funding Detail" sheetId="9" r:id="rId2"/>
    <sheet name="Apportionment Guidance" sheetId="8" r:id="rId3"/>
    <sheet name="Old Draft" sheetId="4" state="hidden" r:id="rId4"/>
  </sheets>
  <externalReferences>
    <externalReference r:id="rId5"/>
  </externalReferences>
  <definedNames>
    <definedName name="_xlnm.Print_Area" localSheetId="0">'Return on Investment'!$A$1:$L$46</definedName>
  </definedNames>
  <calcPr calcId="145621"/>
</workbook>
</file>

<file path=xl/calcChain.xml><?xml version="1.0" encoding="utf-8"?>
<calcChain xmlns="http://schemas.openxmlformats.org/spreadsheetml/2006/main">
  <c r="M45" i="9" l="1"/>
  <c r="L45" i="9"/>
  <c r="K45" i="9"/>
  <c r="J45" i="9"/>
  <c r="I45" i="9"/>
  <c r="H45" i="9"/>
  <c r="G45" i="9"/>
  <c r="F45" i="9"/>
  <c r="D45" i="9"/>
  <c r="C45" i="9"/>
  <c r="B45" i="9"/>
  <c r="N44" i="9"/>
  <c r="E44" i="9"/>
  <c r="N43" i="9"/>
  <c r="E43" i="9"/>
  <c r="N42" i="9"/>
  <c r="E42" i="9"/>
  <c r="N41" i="9"/>
  <c r="E41" i="9"/>
  <c r="N40" i="9"/>
  <c r="N39" i="9"/>
  <c r="N45" i="9" s="1"/>
  <c r="E39" i="9"/>
  <c r="E45" i="9" s="1"/>
  <c r="M35" i="9"/>
  <c r="K35" i="9"/>
  <c r="H35" i="9"/>
  <c r="G35" i="9"/>
  <c r="D35" i="9"/>
  <c r="C35" i="9"/>
  <c r="L34" i="9"/>
  <c r="J34" i="9"/>
  <c r="I34" i="9"/>
  <c r="F34" i="9"/>
  <c r="N34" i="9" s="1"/>
  <c r="E34" i="9"/>
  <c r="L33" i="9"/>
  <c r="F33" i="9"/>
  <c r="N33" i="9" s="1"/>
  <c r="E33" i="9"/>
  <c r="O33" i="9" s="1"/>
  <c r="L32" i="9"/>
  <c r="F32" i="9"/>
  <c r="N32" i="9" s="1"/>
  <c r="E32" i="9"/>
  <c r="L31" i="9"/>
  <c r="F31" i="9"/>
  <c r="N31" i="9" s="1"/>
  <c r="E31" i="9"/>
  <c r="O31" i="9" s="1"/>
  <c r="L30" i="9"/>
  <c r="J30" i="9"/>
  <c r="J35" i="9" s="1"/>
  <c r="I30" i="9"/>
  <c r="F30" i="9"/>
  <c r="N30" i="9" s="1"/>
  <c r="B30" i="9"/>
  <c r="E30" i="9" s="1"/>
  <c r="L29" i="9"/>
  <c r="F29" i="9"/>
  <c r="N29" i="9" s="1"/>
  <c r="E29" i="9"/>
  <c r="O29" i="9" s="1"/>
  <c r="L28" i="9"/>
  <c r="F28" i="9"/>
  <c r="N28" i="9" s="1"/>
  <c r="E28" i="9"/>
  <c r="L27" i="9"/>
  <c r="F27" i="9"/>
  <c r="N27" i="9" s="1"/>
  <c r="E27" i="9"/>
  <c r="O27" i="9" s="1"/>
  <c r="L26" i="9"/>
  <c r="J26" i="9"/>
  <c r="I26" i="9"/>
  <c r="H26" i="9"/>
  <c r="F26" i="9"/>
  <c r="N26" i="9" s="1"/>
  <c r="O26" i="9" s="1"/>
  <c r="E26" i="9"/>
  <c r="L25" i="9"/>
  <c r="J25" i="9"/>
  <c r="I25" i="9"/>
  <c r="H25" i="9"/>
  <c r="F25" i="9"/>
  <c r="N25" i="9" s="1"/>
  <c r="O25" i="9" s="1"/>
  <c r="E25" i="9"/>
  <c r="L24" i="9"/>
  <c r="L35" i="9" s="1"/>
  <c r="J24" i="9"/>
  <c r="I24" i="9"/>
  <c r="I35" i="9" s="1"/>
  <c r="F24" i="9"/>
  <c r="N24" i="9" s="1"/>
  <c r="N35" i="9" s="1"/>
  <c r="E24" i="9"/>
  <c r="E35" i="9" s="1"/>
  <c r="K22" i="9"/>
  <c r="K36" i="9" s="1"/>
  <c r="G22" i="9"/>
  <c r="G36" i="9" s="1"/>
  <c r="B22" i="9"/>
  <c r="L21" i="9"/>
  <c r="J21" i="9"/>
  <c r="I21" i="9"/>
  <c r="F21" i="9"/>
  <c r="N21" i="9" s="1"/>
  <c r="E21" i="9"/>
  <c r="L20" i="9"/>
  <c r="J20" i="9"/>
  <c r="I20" i="9"/>
  <c r="H20" i="9"/>
  <c r="F20" i="9"/>
  <c r="N20" i="9" s="1"/>
  <c r="C20" i="9"/>
  <c r="C22" i="9" s="1"/>
  <c r="C36" i="9" s="1"/>
  <c r="L19" i="9"/>
  <c r="J19" i="9"/>
  <c r="I19" i="9"/>
  <c r="H19" i="9"/>
  <c r="N19" i="9" s="1"/>
  <c r="F19" i="9"/>
  <c r="E19" i="9"/>
  <c r="O19" i="9" s="1"/>
  <c r="L18" i="9"/>
  <c r="J18" i="9"/>
  <c r="I18" i="9"/>
  <c r="F18" i="9"/>
  <c r="N18" i="9" s="1"/>
  <c r="E18" i="9"/>
  <c r="O18" i="9" s="1"/>
  <c r="L17" i="9"/>
  <c r="J17" i="9"/>
  <c r="I17" i="9"/>
  <c r="F17" i="9"/>
  <c r="N17" i="9" s="1"/>
  <c r="E17" i="9"/>
  <c r="L16" i="9"/>
  <c r="F16" i="9"/>
  <c r="N16" i="9" s="1"/>
  <c r="E16" i="9"/>
  <c r="O16" i="9" s="1"/>
  <c r="L15" i="9"/>
  <c r="F15" i="9"/>
  <c r="N15" i="9" s="1"/>
  <c r="E15" i="9"/>
  <c r="L14" i="9"/>
  <c r="F14" i="9"/>
  <c r="N14" i="9" s="1"/>
  <c r="E14" i="9"/>
  <c r="O14" i="9" s="1"/>
  <c r="L13" i="9"/>
  <c r="F13" i="9"/>
  <c r="N13" i="9" s="1"/>
  <c r="E13" i="9"/>
  <c r="L12" i="9"/>
  <c r="J12" i="9"/>
  <c r="I12" i="9"/>
  <c r="F12" i="9"/>
  <c r="N12" i="9" s="1"/>
  <c r="E12" i="9"/>
  <c r="O12" i="9" s="1"/>
  <c r="M11" i="9"/>
  <c r="L11" i="9"/>
  <c r="J11" i="9"/>
  <c r="I11" i="9"/>
  <c r="F11" i="9"/>
  <c r="N11" i="9" s="1"/>
  <c r="D11" i="9"/>
  <c r="E11" i="9" s="1"/>
  <c r="O11" i="9" s="1"/>
  <c r="L10" i="9"/>
  <c r="J10" i="9"/>
  <c r="I10" i="9"/>
  <c r="H10" i="9"/>
  <c r="N10" i="9" s="1"/>
  <c r="F10" i="9"/>
  <c r="E10" i="9"/>
  <c r="O10" i="9" s="1"/>
  <c r="L9" i="9"/>
  <c r="J9" i="9"/>
  <c r="I9" i="9"/>
  <c r="F9" i="9"/>
  <c r="N9" i="9" s="1"/>
  <c r="E9" i="9"/>
  <c r="L8" i="9"/>
  <c r="J8" i="9"/>
  <c r="I8" i="9"/>
  <c r="F8" i="9"/>
  <c r="N8" i="9" s="1"/>
  <c r="E8" i="9"/>
  <c r="O8" i="9" s="1"/>
  <c r="M7" i="9"/>
  <c r="M22" i="9" s="1"/>
  <c r="M36" i="9" s="1"/>
  <c r="L7" i="9"/>
  <c r="J7" i="9"/>
  <c r="I7" i="9"/>
  <c r="H7" i="9"/>
  <c r="H22" i="9" s="1"/>
  <c r="H36" i="9" s="1"/>
  <c r="F7" i="9"/>
  <c r="N7" i="9" s="1"/>
  <c r="E7" i="9"/>
  <c r="L6" i="9"/>
  <c r="L22" i="9" s="1"/>
  <c r="L36" i="9" s="1"/>
  <c r="J6" i="9"/>
  <c r="J22" i="9" s="1"/>
  <c r="I6" i="9"/>
  <c r="I22" i="9" s="1"/>
  <c r="I36" i="9" s="1"/>
  <c r="F6" i="9"/>
  <c r="N6" i="9" s="1"/>
  <c r="E6" i="9"/>
  <c r="N22" i="9" l="1"/>
  <c r="N36" i="9" s="1"/>
  <c r="J36" i="9"/>
  <c r="O7" i="9"/>
  <c r="O9" i="9"/>
  <c r="O13" i="9"/>
  <c r="O15" i="9"/>
  <c r="O17" i="9"/>
  <c r="O21" i="9"/>
  <c r="O28" i="9"/>
  <c r="O30" i="9"/>
  <c r="O32" i="9"/>
  <c r="O34" i="9"/>
  <c r="D22" i="9"/>
  <c r="D36" i="9" s="1"/>
  <c r="F22" i="9"/>
  <c r="F36" i="9" s="1"/>
  <c r="O24" i="9"/>
  <c r="O35" i="9" s="1"/>
  <c r="B35" i="9"/>
  <c r="B36" i="9" s="1"/>
  <c r="E36" i="9" s="1"/>
  <c r="O36" i="9" s="1"/>
  <c r="F35" i="9"/>
  <c r="O6" i="9"/>
  <c r="O22" i="9" s="1"/>
  <c r="E20" i="9"/>
  <c r="O20" i="9" s="1"/>
  <c r="E22" i="9" l="1"/>
  <c r="L19" i="6" l="1"/>
  <c r="K19" i="6"/>
  <c r="F32" i="6" l="1"/>
  <c r="F19" i="6"/>
  <c r="K32" i="6" l="1"/>
  <c r="L32" i="6"/>
  <c r="K33" i="6" l="1"/>
  <c r="L33" i="6"/>
  <c r="I32" i="6" l="1"/>
  <c r="I19" i="6"/>
  <c r="I33" i="6" l="1"/>
  <c r="E32" i="6"/>
  <c r="E19" i="6"/>
  <c r="E33" i="6" l="1"/>
  <c r="D32" i="6"/>
  <c r="B32" i="6"/>
  <c r="D19" i="6"/>
  <c r="D33" i="6" s="1"/>
  <c r="B19" i="6"/>
  <c r="B33" i="6" s="1"/>
</calcChain>
</file>

<file path=xl/sharedStrings.xml><?xml version="1.0" encoding="utf-8"?>
<sst xmlns="http://schemas.openxmlformats.org/spreadsheetml/2006/main" count="252" uniqueCount="130">
  <si>
    <t>Directorate</t>
  </si>
  <si>
    <t>Research Active Staff</t>
  </si>
  <si>
    <t xml:space="preserve"> Clinical Publications</t>
  </si>
  <si>
    <t>Grants  Submitted</t>
  </si>
  <si>
    <t xml:space="preserve"> Grants Awarded</t>
  </si>
  <si>
    <t>Other Research Income</t>
  </si>
  <si>
    <t>Active Portfolio Studies</t>
  </si>
  <si>
    <t>Patient Accruals</t>
  </si>
  <si>
    <t>70 day Benchmark</t>
  </si>
  <si>
    <t>Accident &amp; Emergency</t>
  </si>
  <si>
    <t xml:space="preserve"> - </t>
  </si>
  <si>
    <t>Cardiology &amp; Cardiothoracic Surgery</t>
  </si>
  <si>
    <t>Diabetes &amp; Endocrinology</t>
  </si>
  <si>
    <t>Medical Imaging &amp; Medical Physics</t>
  </si>
  <si>
    <t>OGN</t>
  </si>
  <si>
    <t>Oral &amp; Dental</t>
  </si>
  <si>
    <t>Professional Services</t>
  </si>
  <si>
    <t>Renal Services</t>
  </si>
  <si>
    <t>Respiratory Medicine</t>
  </si>
  <si>
    <t xml:space="preserve">Specialised Medicine </t>
  </si>
  <si>
    <t>Urology</t>
  </si>
  <si>
    <t>ENT</t>
  </si>
  <si>
    <t>Gastroenterology</t>
  </si>
  <si>
    <t>General Surgery</t>
  </si>
  <si>
    <t>Geriatric &amp; Stroke Medicine</t>
  </si>
  <si>
    <t>Laboratory Medicine</t>
  </si>
  <si>
    <t>Ophthalmology</t>
  </si>
  <si>
    <t>Orthopaedics</t>
  </si>
  <si>
    <t xml:space="preserve"> -</t>
  </si>
  <si>
    <t>OSCCA</t>
  </si>
  <si>
    <t>Pharmacy</t>
  </si>
  <si>
    <t>Primary Care &amp; Community Services</t>
  </si>
  <si>
    <t>Plastic Surgery</t>
  </si>
  <si>
    <t>Specialised Rehabilitation</t>
  </si>
  <si>
    <t>Vascular Services</t>
  </si>
  <si>
    <t>Trust TOTAL*</t>
  </si>
  <si>
    <t>Academic Directorates</t>
  </si>
  <si>
    <t>Non-Academic Directorates</t>
  </si>
  <si>
    <t>Research Management &amp; Governance</t>
  </si>
  <si>
    <t>Clinical Research Facility</t>
  </si>
  <si>
    <t>Corporate Services &amp; Trust Overheads</t>
  </si>
  <si>
    <t xml:space="preserve">Communicable Diseases </t>
  </si>
  <si>
    <t xml:space="preserve">Neurosciences </t>
  </si>
  <si>
    <t>Total</t>
  </si>
  <si>
    <t>Grand Total Income 2014/15</t>
  </si>
  <si>
    <t>Grant Funded Research Cost and Commercial Income Received to STH in 2014/15</t>
  </si>
  <si>
    <t>Grants - Research Cost Recovery</t>
  </si>
  <si>
    <t>Commercial Income -Full Cost recovery</t>
  </si>
  <si>
    <t>Support Services</t>
  </si>
  <si>
    <t>Total Support Services</t>
  </si>
  <si>
    <t>Total Academic Directorates*</t>
  </si>
  <si>
    <t>Total Non-Academic Directorates*</t>
  </si>
  <si>
    <t>* The TOTAL figures are not necessarily a sum of individual directorates, due to collaborations across directorates on publications, grants and portfolio studies</t>
  </si>
  <si>
    <t>Specialised Cancer (including CCTC)</t>
  </si>
  <si>
    <t>Recruitment to Time &amp; Target</t>
  </si>
  <si>
    <t>Cells highlighted blue represent metrics incorporated into the Integrated Board Report</t>
  </si>
  <si>
    <t>** RCF includes Network RCF for the CCTC at £83,226 which is reported against the Specialised Cancer Services Directorate</t>
  </si>
  <si>
    <t>Total - Other STH Income Supporting Delivery</t>
  </si>
  <si>
    <r>
      <t xml:space="preserve">Draft/Old - Directorates 2014/2015 end of year figures - </t>
    </r>
    <r>
      <rPr>
        <b/>
        <i/>
        <sz val="14"/>
        <color theme="3" tint="-0.249977111117893"/>
        <rFont val="Calibri"/>
        <family val="2"/>
        <scheme val="minor"/>
      </rPr>
      <t>Return on Investment</t>
    </r>
  </si>
  <si>
    <t>Specialised Cancer</t>
  </si>
  <si>
    <t xml:space="preserve">Grant &amp; Commercial Income to STH </t>
  </si>
  <si>
    <t>STH Research Investment</t>
  </si>
  <si>
    <t>Clinical Directorates</t>
  </si>
  <si>
    <r>
      <t>Trust TOTAL</t>
    </r>
    <r>
      <rPr>
        <b/>
        <vertAlign val="superscript"/>
        <sz val="16"/>
        <rFont val="Calibri"/>
        <family val="2"/>
        <scheme val="minor"/>
      </rPr>
      <t>1</t>
    </r>
  </si>
  <si>
    <r>
      <rPr>
        <i/>
        <vertAlign val="superscript"/>
        <sz val="12"/>
        <color theme="1"/>
        <rFont val="Calibri"/>
        <family val="2"/>
        <scheme val="minor"/>
      </rPr>
      <t xml:space="preserve">1 </t>
    </r>
    <r>
      <rPr>
        <i/>
        <sz val="12"/>
        <color theme="1"/>
        <rFont val="Calibri"/>
        <family val="2"/>
        <scheme val="minor"/>
      </rPr>
      <t>The trust total figures are not a sum of individual directorates, due to collaborations across directorates on publications, grants and portfolio studies</t>
    </r>
  </si>
  <si>
    <r>
      <t>Recruitment to Time &amp; Target</t>
    </r>
    <r>
      <rPr>
        <b/>
        <vertAlign val="superscript"/>
        <sz val="12"/>
        <rFont val="Calibri"/>
        <family val="2"/>
        <scheme val="minor"/>
      </rPr>
      <t>2</t>
    </r>
  </si>
  <si>
    <r>
      <t>Total Academic Directorates</t>
    </r>
    <r>
      <rPr>
        <b/>
        <vertAlign val="superscript"/>
        <sz val="16"/>
        <rFont val="Calibri"/>
        <family val="2"/>
        <scheme val="minor"/>
      </rPr>
      <t>1</t>
    </r>
  </si>
  <si>
    <t>Combined Community &amp; Acute Care Group</t>
  </si>
  <si>
    <r>
      <t>70 day Benchmark</t>
    </r>
    <r>
      <rPr>
        <b/>
        <vertAlign val="superscript"/>
        <sz val="12"/>
        <rFont val="Calibri"/>
        <family val="2"/>
        <scheme val="minor"/>
      </rPr>
      <t>2</t>
    </r>
  </si>
  <si>
    <t>Directorates 2015/2016 financial year figures - Return on Investment</t>
  </si>
  <si>
    <t>RCF</t>
  </si>
  <si>
    <t>N/A</t>
  </si>
  <si>
    <r>
      <t>Total Non-Academic Directorates</t>
    </r>
    <r>
      <rPr>
        <b/>
        <vertAlign val="superscript"/>
        <sz val="16"/>
        <rFont val="Calibri"/>
        <family val="2"/>
        <scheme val="minor"/>
      </rPr>
      <t>1</t>
    </r>
  </si>
  <si>
    <t>Clinical Publications</t>
  </si>
  <si>
    <t>PERFORMANCE OPERATING FRAMEWORK</t>
  </si>
  <si>
    <t>Other Funding Sources Supporting Delivery</t>
  </si>
  <si>
    <t xml:space="preserve">Grand Total </t>
  </si>
  <si>
    <t>Charles Clifford Dental Hospital</t>
  </si>
  <si>
    <t>Total Academic Directorates</t>
  </si>
  <si>
    <t>Total Non-Academic Directorates</t>
  </si>
  <si>
    <t>Trust Total</t>
  </si>
  <si>
    <t>GUIDANCE ON THE ALLOCATION AND APPORTIONMENT OF FUNDING STREAMS SUPPORTING CLINICAL TRIAL DELIVERY</t>
  </si>
  <si>
    <t>Category of Funding</t>
  </si>
  <si>
    <t>Direct  Allocation or Apportionment</t>
  </si>
  <si>
    <t xml:space="preserve">Method of  Allocation </t>
  </si>
  <si>
    <t xml:space="preserve">CRN Service Support - Non-Commercial Portfolio Delivery </t>
  </si>
  <si>
    <t>Direct Allocation</t>
  </si>
  <si>
    <t xml:space="preserve">Allocated to Directorate based on an activity driven funding model adopted by the Trust for non-commercial Portfolio studies.  </t>
  </si>
  <si>
    <t>Research Lead</t>
  </si>
  <si>
    <t>Allocated to Directorates in line with PA time agreed by the STH Research and Innovation Committee to support Academic and Non-Academic Directorate Research Leadership</t>
  </si>
  <si>
    <t xml:space="preserve">CRF NIHR Experimental Medicine Support </t>
  </si>
  <si>
    <t>Allocated to Directorates to support patient recruitment costs based on projected activity and complexity mix over the year</t>
  </si>
  <si>
    <t>Apportionment</t>
  </si>
  <si>
    <t>CRF infrastructure funding apportioned to Directorates based on patient recruitment to Experimental studies over the 2015/16 12 month period</t>
  </si>
  <si>
    <t xml:space="preserve">CRF NIHR CRN Infrastructure Support </t>
  </si>
  <si>
    <t>Apportioned to Directorates based on patient recruitment to non-commercial Portfolio studies supported under the auspices of the CRF over the 2015/16 12 month period.</t>
  </si>
  <si>
    <t>NIHR CRN Infrastructure Support:</t>
  </si>
  <si>
    <t>Pharmacy - Cancer Services</t>
  </si>
  <si>
    <t>Apportionment based on specific allocation to the Pharmacy department to support WPH based staff</t>
  </si>
  <si>
    <t>Pharmacy - NGH &amp; RHH</t>
  </si>
  <si>
    <t>Apportionment of staff cost funding based on recorded non-commercial Portfolio trial activities (Dispensing, Storage &amp; Maintenance) by Directorate over the 2015/16 12 month period.</t>
  </si>
  <si>
    <t>Apportionment of staff cost funding based on recorded non-commercial Portfolio trial scan activities by Directorate over the 2015/16 12 month period.</t>
  </si>
  <si>
    <t>Laboratory Medicine - Tests</t>
  </si>
  <si>
    <t xml:space="preserve">Apportionment to Directorates based on actual recorded tests completed over the 2015/16 12 month period.  </t>
  </si>
  <si>
    <t>Laboratory Medicine - Staff</t>
  </si>
  <si>
    <t>Apportionment of staff cost funding based on the number of active relevant studies</t>
  </si>
  <si>
    <t xml:space="preserve">CCTC CRN Infrastructure Support </t>
  </si>
  <si>
    <t xml:space="preserve">Apportioned to Directorates based on patient recruitment to non-commercial Portfolio studies supported over the 12 month period to the 31st March 2016.  </t>
  </si>
  <si>
    <t>Research Capability Funding</t>
  </si>
  <si>
    <t>£98,970 RCF has been directly allocated to Directorates to support pre-commitments</t>
  </si>
  <si>
    <t xml:space="preserve">£62,219 CRF funding and has been allocated to Directorates based activities supporting Pilot studies over the 12 month period to the 31st March 2016.  </t>
  </si>
  <si>
    <t xml:space="preserve">£28,570 CRF funding and has been allocated to Directorates based on  patient recruitment to non-commercial Portfolio studies supported under the auspices of the CRF over the 12 month period to the 31st March 2016.  </t>
  </si>
  <si>
    <t>Corporate Services, RM&amp;G and Trust Overheads</t>
  </si>
  <si>
    <t>Apportionment based on the number of active non-commercial portfolio studies through out the 12 month period to 31st March 2016.</t>
  </si>
  <si>
    <t xml:space="preserve">INCOME &amp; FUNDING 2015/16  </t>
  </si>
  <si>
    <t xml:space="preserve">Grant  and Commercial Income Received to STH  </t>
  </si>
  <si>
    <t>Grant Income</t>
  </si>
  <si>
    <t>CRN Infrastructure Support (A)</t>
  </si>
  <si>
    <t xml:space="preserve">Academic/ Non-Academic Research Lead (D) </t>
  </si>
  <si>
    <t>CCTC CRN Infrastructure Support (A)</t>
  </si>
  <si>
    <t>CRF NIHR Experimental Medicine Support (A)</t>
  </si>
  <si>
    <t>CRF CRN Infrastructure Support (A)</t>
  </si>
  <si>
    <t>CRN Service Support (D)</t>
  </si>
  <si>
    <t>RCF  (A &amp; D)</t>
  </si>
  <si>
    <t>Charitable Fund - Research PA Funding (D)</t>
  </si>
  <si>
    <t>Total Other Funding</t>
  </si>
  <si>
    <t>Apportioned Funding - For Information</t>
  </si>
  <si>
    <t>(A)  Apportioned Funding</t>
  </si>
  <si>
    <t>(D) Directly Allocated Funding</t>
  </si>
  <si>
    <r>
      <rPr>
        <i/>
        <vertAlign val="superscript"/>
        <sz val="12"/>
        <color theme="1"/>
        <rFont val="Calibri"/>
        <family val="2"/>
        <scheme val="minor"/>
      </rPr>
      <t xml:space="preserve">2 </t>
    </r>
    <r>
      <rPr>
        <i/>
        <sz val="12"/>
        <color theme="1"/>
        <rFont val="Calibri"/>
        <family val="2"/>
        <scheme val="minor"/>
      </rPr>
      <t>The 70 Day Benchmark and Recruitment to Time &amp; Target values are the median of Directorates' NIHR metric data across Quarters 1 - 4 of the 2015/16 financial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</si>
</sst>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6" formatCode="&quot;£&quot;#,##0;[Red]\-&quot;£&quot;#,##0"/>
    <numFmt numFmtId="164" formatCode="&quot;£&quot;#,##0"/>
    <numFmt numFmtId="165" formatCode="0.0%"/>
    <numFmt numFmtId="166" formatCode="&quot;£&quot;#,##0.00"/>
    <numFmt numFmtId="167" formatCode="#,##0_ ;[Red]\-#,##0\ "/>
  </numFmts>
  <fonts count="34" x14ac:knownFonts="1">
    <font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3" tint="-0.249977111117893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theme="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theme="7" tint="0.79998168889431442"/>
      </patternFill>
    </fill>
    <fill>
      <patternFill patternType="solid">
        <fgColor theme="0"/>
        <bgColor theme="7" tint="-0.24994659260841701"/>
      </patternFill>
    </fill>
    <fill>
      <patternFill patternType="solid">
        <fgColor theme="7" tint="0.59999389629810485"/>
        <bgColor theme="7" tint="0.39991454817346722"/>
      </patternFill>
    </fill>
    <fill>
      <patternFill patternType="solid">
        <fgColor theme="4" tint="0.59999389629810485"/>
        <bgColor theme="7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57">
    <xf numFmtId="0" fontId="0" fillId="0" borderId="0" xfId="0"/>
    <xf numFmtId="0" fontId="6" fillId="4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Protection="1"/>
    <xf numFmtId="0" fontId="11" fillId="4" borderId="0" xfId="0" applyFont="1" applyFill="1" applyProtection="1"/>
    <xf numFmtId="0" fontId="12" fillId="0" borderId="0" xfId="0" applyFont="1"/>
    <xf numFmtId="0" fontId="10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15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9" fontId="3" fillId="2" borderId="5" xfId="1" applyNumberFormat="1" applyFont="1" applyBorder="1" applyAlignment="1" applyProtection="1">
      <alignment horizontal="center" vertical="center" wrapText="1"/>
      <protection locked="0"/>
    </xf>
    <xf numFmtId="9" fontId="3" fillId="2" borderId="30" xfId="1" applyNumberFormat="1" applyFont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5" borderId="12" xfId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6" fontId="3" fillId="10" borderId="21" xfId="1" applyNumberFormat="1" applyFont="1" applyFill="1" applyBorder="1" applyAlignment="1" applyProtection="1">
      <alignment horizontal="center" vertical="center" wrapText="1"/>
      <protection locked="0"/>
    </xf>
    <xf numFmtId="3" fontId="3" fillId="10" borderId="26" xfId="1" applyNumberFormat="1" applyFont="1" applyFill="1" applyBorder="1" applyAlignment="1" applyProtection="1">
      <alignment horizontal="center" vertical="center" wrapText="1"/>
      <protection locked="0"/>
    </xf>
    <xf numFmtId="6" fontId="3" fillId="10" borderId="37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Alignment="1">
      <alignment horizontal="left"/>
    </xf>
    <xf numFmtId="0" fontId="18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8" fillId="0" borderId="39" xfId="0" applyFont="1" applyFill="1" applyBorder="1" applyAlignment="1" applyProtection="1">
      <alignment horizontal="center" wrapText="1"/>
      <protection locked="0"/>
    </xf>
    <xf numFmtId="0" fontId="4" fillId="5" borderId="27" xfId="1" applyFont="1" applyFill="1" applyBorder="1" applyAlignment="1" applyProtection="1">
      <alignment vertical="center" wrapText="1"/>
      <protection locked="0"/>
    </xf>
    <xf numFmtId="0" fontId="7" fillId="10" borderId="34" xfId="1" applyFont="1" applyFill="1" applyBorder="1" applyAlignment="1" applyProtection="1">
      <alignment vertical="center" wrapText="1"/>
      <protection locked="0"/>
    </xf>
    <xf numFmtId="9" fontId="3" fillId="2" borderId="35" xfId="1" applyNumberFormat="1" applyFont="1" applyBorder="1" applyAlignment="1" applyProtection="1">
      <alignment horizontal="center" vertical="center" wrapText="1"/>
      <protection locked="0"/>
    </xf>
    <xf numFmtId="0" fontId="7" fillId="8" borderId="21" xfId="0" applyFont="1" applyFill="1" applyBorder="1" applyAlignment="1" applyProtection="1">
      <alignment vertical="center" wrapText="1"/>
      <protection locked="0"/>
    </xf>
    <xf numFmtId="0" fontId="3" fillId="9" borderId="22" xfId="1" applyFont="1" applyFill="1" applyBorder="1" applyAlignment="1" applyProtection="1">
      <alignment horizontal="center" vertical="center"/>
      <protection locked="0"/>
    </xf>
    <xf numFmtId="0" fontId="3" fillId="9" borderId="25" xfId="1" applyFont="1" applyFill="1" applyBorder="1" applyAlignment="1" applyProtection="1">
      <alignment horizontal="center" vertical="center" wrapText="1"/>
      <protection locked="0"/>
    </xf>
    <xf numFmtId="6" fontId="3" fillId="9" borderId="21" xfId="1" applyNumberFormat="1" applyFont="1" applyFill="1" applyBorder="1" applyAlignment="1" applyProtection="1">
      <alignment horizontal="center" vertical="center" wrapText="1"/>
      <protection locked="0"/>
    </xf>
    <xf numFmtId="6" fontId="3" fillId="9" borderId="23" xfId="1" applyNumberFormat="1" applyFont="1" applyFill="1" applyBorder="1" applyAlignment="1" applyProtection="1">
      <alignment horizontal="center" vertical="center" wrapText="1"/>
      <protection locked="0"/>
    </xf>
    <xf numFmtId="6" fontId="3" fillId="9" borderId="22" xfId="1" applyNumberFormat="1" applyFont="1" applyFill="1" applyBorder="1" applyAlignment="1" applyProtection="1">
      <alignment horizontal="center" vertical="center" wrapText="1"/>
      <protection locked="0"/>
    </xf>
    <xf numFmtId="6" fontId="3" fillId="9" borderId="37" xfId="1" applyNumberFormat="1" applyFont="1" applyFill="1" applyBorder="1" applyAlignment="1" applyProtection="1">
      <alignment horizontal="center" vertical="center" wrapText="1"/>
      <protection locked="0"/>
    </xf>
    <xf numFmtId="9" fontId="3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10" borderId="44" xfId="1" applyFont="1" applyFill="1" applyBorder="1" applyAlignment="1" applyProtection="1">
      <alignment vertical="center" wrapText="1"/>
      <protection locked="0"/>
    </xf>
    <xf numFmtId="0" fontId="3" fillId="10" borderId="36" xfId="1" applyFont="1" applyFill="1" applyBorder="1" applyAlignment="1" applyProtection="1">
      <alignment horizontal="center" vertical="center"/>
      <protection locked="0"/>
    </xf>
    <xf numFmtId="6" fontId="3" fillId="10" borderId="23" xfId="1" applyNumberFormat="1" applyFont="1" applyFill="1" applyBorder="1" applyAlignment="1" applyProtection="1">
      <alignment horizontal="center" vertical="center" wrapText="1"/>
      <protection locked="0"/>
    </xf>
    <xf numFmtId="6" fontId="3" fillId="10" borderId="22" xfId="1" applyNumberFormat="1" applyFont="1" applyFill="1" applyBorder="1" applyAlignment="1" applyProtection="1">
      <alignment horizontal="center" vertical="center" wrapText="1"/>
      <protection locked="0"/>
    </xf>
    <xf numFmtId="9" fontId="3" fillId="10" borderId="36" xfId="1" applyNumberFormat="1" applyFont="1" applyFill="1" applyBorder="1" applyAlignment="1" applyProtection="1">
      <alignment horizontal="center" vertical="center"/>
      <protection locked="0"/>
    </xf>
    <xf numFmtId="9" fontId="3" fillId="10" borderId="10" xfId="1" applyNumberFormat="1" applyFont="1" applyFill="1" applyBorder="1" applyAlignment="1" applyProtection="1">
      <alignment horizontal="center" vertical="center" wrapText="1"/>
      <protection locked="0"/>
    </xf>
    <xf numFmtId="9" fontId="7" fillId="7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 applyProtection="1">
      <alignment vertical="center" wrapText="1"/>
      <protection locked="0"/>
    </xf>
    <xf numFmtId="0" fontId="7" fillId="4" borderId="8" xfId="1" applyFont="1" applyFill="1" applyBorder="1" applyAlignment="1" applyProtection="1">
      <alignment horizontal="center" vertical="center"/>
    </xf>
    <xf numFmtId="0" fontId="7" fillId="4" borderId="32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9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164" fontId="7" fillId="4" borderId="38" xfId="1" applyNumberFormat="1" applyFont="1" applyFill="1" applyBorder="1" applyAlignment="1" applyProtection="1">
      <alignment horizontal="center" vertical="center"/>
    </xf>
    <xf numFmtId="3" fontId="7" fillId="4" borderId="33" xfId="1" applyNumberFormat="1" applyFont="1" applyFill="1" applyBorder="1" applyAlignment="1" applyProtection="1">
      <alignment horizontal="center" vertical="center"/>
    </xf>
    <xf numFmtId="3" fontId="7" fillId="4" borderId="7" xfId="1" applyNumberFormat="1" applyFont="1" applyFill="1" applyBorder="1" applyAlignment="1" applyProtection="1">
      <alignment horizontal="center" vertical="center"/>
    </xf>
    <xf numFmtId="165" fontId="7" fillId="4" borderId="9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0" fillId="0" borderId="0" xfId="0" applyFont="1"/>
    <xf numFmtId="0" fontId="17" fillId="0" borderId="0" xfId="0" applyFont="1"/>
    <xf numFmtId="167" fontId="3" fillId="9" borderId="21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7" fillId="11" borderId="22" xfId="1" applyFont="1" applyFill="1" applyBorder="1" applyAlignment="1" applyProtection="1">
      <alignment horizontal="center" vertical="center"/>
      <protection locked="0"/>
    </xf>
    <xf numFmtId="3" fontId="7" fillId="11" borderId="21" xfId="1" applyNumberFormat="1" applyFont="1" applyFill="1" applyBorder="1" applyAlignment="1" applyProtection="1">
      <alignment horizontal="center" vertical="center" wrapText="1"/>
      <protection locked="0"/>
    </xf>
    <xf numFmtId="9" fontId="7" fillId="11" borderId="22" xfId="1" applyNumberFormat="1" applyFont="1" applyFill="1" applyBorder="1" applyAlignment="1" applyProtection="1">
      <alignment horizontal="center" vertical="center"/>
      <protection locked="0"/>
    </xf>
    <xf numFmtId="9" fontId="7" fillId="11" borderId="23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46" xfId="0" applyFont="1" applyFill="1" applyBorder="1" applyAlignment="1" applyProtection="1">
      <alignment horizontal="center"/>
      <protection locked="0"/>
    </xf>
    <xf numFmtId="0" fontId="7" fillId="12" borderId="34" xfId="1" applyFont="1" applyFill="1" applyBorder="1" applyAlignment="1" applyProtection="1">
      <alignment vertical="center" wrapText="1"/>
      <protection locked="0"/>
    </xf>
    <xf numFmtId="0" fontId="2" fillId="12" borderId="12" xfId="1" applyFont="1" applyFill="1" applyBorder="1" applyAlignment="1" applyProtection="1">
      <alignment vertical="center" wrapText="1"/>
      <protection locked="0"/>
    </xf>
    <xf numFmtId="0" fontId="7" fillId="12" borderId="21" xfId="1" applyFont="1" applyFill="1" applyBorder="1" applyAlignment="1" applyProtection="1">
      <alignment vertical="center" wrapText="1"/>
      <protection locked="0"/>
    </xf>
    <xf numFmtId="0" fontId="7" fillId="12" borderId="22" xfId="1" applyFont="1" applyFill="1" applyBorder="1" applyAlignment="1" applyProtection="1">
      <alignment horizontal="center" vertical="center"/>
      <protection locked="0"/>
    </xf>
    <xf numFmtId="0" fontId="7" fillId="12" borderId="25" xfId="1" applyFont="1" applyFill="1" applyBorder="1" applyAlignment="1" applyProtection="1">
      <alignment horizontal="center" vertical="center"/>
      <protection locked="0"/>
    </xf>
    <xf numFmtId="6" fontId="7" fillId="12" borderId="21" xfId="1" applyNumberFormat="1" applyFont="1" applyFill="1" applyBorder="1" applyAlignment="1" applyProtection="1">
      <alignment horizontal="center" vertical="center" wrapText="1"/>
      <protection locked="0"/>
    </xf>
    <xf numFmtId="6" fontId="7" fillId="12" borderId="22" xfId="1" applyNumberFormat="1" applyFont="1" applyFill="1" applyBorder="1" applyAlignment="1" applyProtection="1">
      <alignment horizontal="center" vertical="center" wrapText="1"/>
      <protection locked="0"/>
    </xf>
    <xf numFmtId="6" fontId="7" fillId="12" borderId="25" xfId="1" applyNumberFormat="1" applyFont="1" applyFill="1" applyBorder="1" applyAlignment="1" applyProtection="1">
      <alignment horizontal="center" vertical="center" wrapText="1"/>
      <protection locked="0"/>
    </xf>
    <xf numFmtId="6" fontId="7" fillId="12" borderId="23" xfId="1" applyNumberFormat="1" applyFont="1" applyFill="1" applyBorder="1" applyAlignment="1" applyProtection="1">
      <alignment horizontal="center" vertical="center" wrapText="1"/>
      <protection locked="0"/>
    </xf>
    <xf numFmtId="6" fontId="7" fillId="12" borderId="37" xfId="1" applyNumberFormat="1" applyFont="1" applyFill="1" applyBorder="1" applyAlignment="1" applyProtection="1">
      <alignment horizontal="center" vertical="center" wrapText="1"/>
      <protection locked="0"/>
    </xf>
    <xf numFmtId="3" fontId="7" fillId="12" borderId="26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1" applyFont="1" applyFill="1" applyBorder="1" applyAlignment="1" applyProtection="1">
      <alignment horizontal="center" vertical="center"/>
      <protection locked="0"/>
    </xf>
    <xf numFmtId="0" fontId="3" fillId="4" borderId="14" xfId="1" applyFont="1" applyFill="1" applyBorder="1" applyAlignment="1" applyProtection="1">
      <alignment horizontal="center" vertical="center" wrapText="1"/>
      <protection locked="0"/>
    </xf>
    <xf numFmtId="6" fontId="3" fillId="4" borderId="12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11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39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1" applyFont="1" applyFill="1" applyBorder="1" applyAlignment="1" applyProtection="1">
      <alignment horizontal="center" vertical="center" wrapText="1"/>
      <protection locked="0"/>
    </xf>
    <xf numFmtId="0" fontId="3" fillId="4" borderId="28" xfId="1" applyFont="1" applyFill="1" applyBorder="1" applyAlignment="1" applyProtection="1">
      <alignment horizontal="center" vertical="center"/>
      <protection locked="0"/>
    </xf>
    <xf numFmtId="0" fontId="3" fillId="4" borderId="29" xfId="1" applyFont="1" applyFill="1" applyBorder="1" applyAlignment="1" applyProtection="1">
      <alignment horizontal="center" vertical="center" wrapText="1"/>
      <protection locked="0"/>
    </xf>
    <xf numFmtId="6" fontId="3" fillId="4" borderId="27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28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30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40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1" xfId="1" applyFont="1" applyFill="1" applyBorder="1" applyAlignment="1" applyProtection="1">
      <alignment horizontal="center" vertical="center" wrapText="1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3" fillId="4" borderId="41" xfId="1" applyFont="1" applyFill="1" applyBorder="1" applyAlignment="1" applyProtection="1">
      <alignment horizontal="center" vertical="center" wrapText="1"/>
      <protection locked="0"/>
    </xf>
    <xf numFmtId="6" fontId="3" fillId="4" borderId="34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35" xfId="1" applyNumberFormat="1" applyFont="1" applyFill="1" applyBorder="1" applyAlignment="1" applyProtection="1">
      <alignment horizontal="center" vertical="center" wrapText="1"/>
      <protection locked="0"/>
    </xf>
    <xf numFmtId="6" fontId="3" fillId="4" borderId="42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43" xfId="1" applyFont="1" applyFill="1" applyBorder="1" applyAlignment="1" applyProtection="1">
      <alignment horizontal="center" vertical="center" wrapText="1"/>
      <protection locked="0"/>
    </xf>
    <xf numFmtId="0" fontId="3" fillId="4" borderId="14" xfId="1" applyFont="1" applyFill="1" applyBorder="1" applyAlignment="1" applyProtection="1">
      <alignment horizontal="center" vertical="center"/>
      <protection locked="0"/>
    </xf>
    <xf numFmtId="0" fontId="3" fillId="4" borderId="16" xfId="1" applyFont="1" applyFill="1" applyBorder="1" applyAlignment="1" applyProtection="1">
      <alignment horizontal="center" vertical="center"/>
      <protection locked="0"/>
    </xf>
    <xf numFmtId="0" fontId="3" fillId="4" borderId="29" xfId="1" applyFont="1" applyFill="1" applyBorder="1" applyAlignment="1" applyProtection="1">
      <alignment horizontal="center" vertical="center"/>
      <protection locked="0"/>
    </xf>
    <xf numFmtId="0" fontId="3" fillId="4" borderId="31" xfId="1" applyFont="1" applyFill="1" applyBorder="1" applyAlignment="1" applyProtection="1">
      <alignment horizontal="center" vertical="center"/>
      <protection locked="0"/>
    </xf>
    <xf numFmtId="0" fontId="3" fillId="4" borderId="41" xfId="1" applyFont="1" applyFill="1" applyBorder="1" applyAlignment="1" applyProtection="1">
      <alignment horizontal="center" vertical="center"/>
      <protection locked="0"/>
    </xf>
    <xf numFmtId="6" fontId="3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43" xfId="1" applyNumberFormat="1" applyFont="1" applyFill="1" applyBorder="1" applyAlignment="1" applyProtection="1">
      <alignment horizontal="center" vertical="center"/>
      <protection locked="0"/>
    </xf>
    <xf numFmtId="6" fontId="3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16" xfId="1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9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31" xfId="1" applyNumberFormat="1" applyFont="1" applyFill="1" applyBorder="1" applyAlignment="1" applyProtection="1">
      <alignment horizontal="center" vertical="center" wrapText="1"/>
      <protection locked="0"/>
    </xf>
    <xf numFmtId="9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43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16" xfId="1" applyNumberFormat="1" applyFont="1" applyFill="1" applyBorder="1" applyAlignment="1" applyProtection="1">
      <alignment horizontal="center" vertical="center"/>
      <protection locked="0"/>
    </xf>
    <xf numFmtId="9" fontId="3" fillId="0" borderId="31" xfId="1" applyNumberFormat="1" applyFont="1" applyFill="1" applyBorder="1" applyAlignment="1" applyProtection="1">
      <alignment horizontal="center" vertical="center"/>
      <protection locked="0"/>
    </xf>
    <xf numFmtId="9" fontId="3" fillId="0" borderId="43" xfId="1" applyNumberFormat="1" applyFont="1" applyFill="1" applyBorder="1" applyAlignment="1" applyProtection="1">
      <alignment horizontal="center" vertical="center"/>
      <protection locked="0"/>
    </xf>
    <xf numFmtId="9" fontId="7" fillId="7" borderId="26" xfId="1" applyNumberFormat="1" applyFont="1" applyFill="1" applyBorder="1" applyAlignment="1" applyProtection="1">
      <alignment horizontal="center" vertical="center"/>
      <protection locked="0"/>
    </xf>
    <xf numFmtId="165" fontId="7" fillId="4" borderId="33" xfId="1" applyNumberFormat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4" borderId="30" xfId="1" applyFont="1" applyFill="1" applyBorder="1" applyAlignment="1" applyProtection="1">
      <alignment horizontal="center" vertical="center" wrapText="1"/>
      <protection locked="0"/>
    </xf>
    <xf numFmtId="167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/>
      <protection locked="0"/>
    </xf>
    <xf numFmtId="0" fontId="3" fillId="4" borderId="30" xfId="1" applyFont="1" applyFill="1" applyBorder="1" applyAlignment="1" applyProtection="1">
      <alignment horizontal="center" vertical="center"/>
      <protection locked="0"/>
    </xf>
    <xf numFmtId="3" fontId="3" fillId="10" borderId="37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35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 applyProtection="1">
      <alignment horizontal="center" vertical="center"/>
      <protection locked="0"/>
    </xf>
    <xf numFmtId="3" fontId="7" fillId="12" borderId="37" xfId="1" applyNumberFormat="1" applyFont="1" applyFill="1" applyBorder="1" applyAlignment="1" applyProtection="1">
      <alignment horizontal="center" vertical="center" wrapText="1"/>
      <protection locked="0"/>
    </xf>
    <xf numFmtId="3" fontId="7" fillId="4" borderId="38" xfId="1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wrapText="1"/>
      <protection locked="0"/>
    </xf>
    <xf numFmtId="0" fontId="4" fillId="10" borderId="12" xfId="1" applyFont="1" applyFill="1" applyBorder="1" applyAlignment="1" applyProtection="1">
      <alignment vertical="center" wrapText="1"/>
      <protection locked="0"/>
    </xf>
    <xf numFmtId="0" fontId="4" fillId="10" borderId="27" xfId="1" applyFont="1" applyFill="1" applyBorder="1" applyAlignment="1" applyProtection="1">
      <alignment vertical="center" wrapText="1"/>
      <protection locked="0"/>
    </xf>
    <xf numFmtId="0" fontId="18" fillId="4" borderId="0" xfId="0" applyFont="1" applyFill="1" applyAlignment="1" applyProtection="1">
      <alignment vertical="center"/>
      <protection locked="0"/>
    </xf>
    <xf numFmtId="0" fontId="6" fillId="4" borderId="0" xfId="0" applyFont="1" applyFill="1"/>
    <xf numFmtId="0" fontId="12" fillId="4" borderId="0" xfId="0" applyFont="1" applyFill="1"/>
    <xf numFmtId="0" fontId="2" fillId="0" borderId="51" xfId="0" applyFont="1" applyFill="1" applyBorder="1" applyAlignment="1" applyProtection="1">
      <alignment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15" borderId="20" xfId="0" applyFont="1" applyFill="1" applyBorder="1" applyAlignment="1" applyProtection="1">
      <alignment horizontal="center" vertical="center" wrapText="1"/>
      <protection locked="0"/>
    </xf>
    <xf numFmtId="0" fontId="3" fillId="15" borderId="18" xfId="0" applyFont="1" applyFill="1" applyBorder="1" applyAlignment="1" applyProtection="1">
      <alignment horizontal="center" vertical="center" wrapText="1"/>
      <protection locked="0"/>
    </xf>
    <xf numFmtId="0" fontId="3" fillId="15" borderId="1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/>
    <xf numFmtId="0" fontId="7" fillId="8" borderId="54" xfId="0" applyFont="1" applyFill="1" applyBorder="1" applyAlignment="1" applyProtection="1">
      <alignment vertical="center" wrapText="1"/>
      <protection locked="0"/>
    </xf>
    <xf numFmtId="0" fontId="9" fillId="4" borderId="0" xfId="0" applyFont="1" applyFill="1"/>
    <xf numFmtId="0" fontId="4" fillId="5" borderId="57" xfId="1" applyFont="1" applyFill="1" applyBorder="1" applyAlignment="1" applyProtection="1">
      <alignment vertical="center" wrapText="1"/>
      <protection locked="0"/>
    </xf>
    <xf numFmtId="6" fontId="3" fillId="0" borderId="57" xfId="1" applyNumberFormat="1" applyFont="1" applyFill="1" applyBorder="1" applyAlignment="1" applyProtection="1">
      <alignment horizontal="center" vertical="center" wrapText="1"/>
      <protection locked="0"/>
    </xf>
    <xf numFmtId="6" fontId="3" fillId="0" borderId="5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/>
    <xf numFmtId="0" fontId="4" fillId="4" borderId="0" xfId="0" applyFont="1" applyFill="1"/>
    <xf numFmtId="0" fontId="4" fillId="5" borderId="59" xfId="1" applyFont="1" applyFill="1" applyBorder="1" applyAlignment="1" applyProtection="1">
      <alignment vertical="center" wrapText="1"/>
      <protection locked="0"/>
    </xf>
    <xf numFmtId="6" fontId="3" fillId="0" borderId="6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1" applyFont="1" applyFill="1" applyBorder="1" applyAlignment="1" applyProtection="1">
      <alignment horizontal="center" vertical="center" wrapText="1"/>
      <protection locked="0"/>
    </xf>
    <xf numFmtId="0" fontId="3" fillId="0" borderId="31" xfId="1" applyFont="1" applyFill="1" applyBorder="1" applyAlignment="1" applyProtection="1">
      <alignment horizontal="center" vertical="center" wrapText="1"/>
      <protection locked="0"/>
    </xf>
    <xf numFmtId="9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7" fillId="10" borderId="61" xfId="1" applyFont="1" applyFill="1" applyBorder="1" applyAlignment="1" applyProtection="1">
      <alignment vertical="center" wrapText="1"/>
      <protection locked="0"/>
    </xf>
    <xf numFmtId="6" fontId="3" fillId="0" borderId="61" xfId="1" applyNumberFormat="1" applyFont="1" applyFill="1" applyBorder="1" applyAlignment="1" applyProtection="1">
      <alignment horizontal="center" vertical="center" wrapText="1"/>
      <protection locked="0"/>
    </xf>
    <xf numFmtId="6" fontId="3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1" applyFont="1" applyFill="1" applyBorder="1" applyAlignment="1" applyProtection="1">
      <alignment horizontal="center" vertical="center" wrapText="1"/>
      <protection locked="0"/>
    </xf>
    <xf numFmtId="9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4" fillId="10" borderId="57" xfId="1" applyFont="1" applyFill="1" applyBorder="1" applyAlignment="1" applyProtection="1">
      <alignment vertical="center" wrapText="1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9" fontId="3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10" borderId="59" xfId="1" applyFont="1" applyFill="1" applyBorder="1" applyAlignment="1" applyProtection="1">
      <alignment vertical="center" wrapText="1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9" fontId="3" fillId="0" borderId="28" xfId="1" applyNumberFormat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7" fillId="11" borderId="61" xfId="1" applyFont="1" applyFill="1" applyBorder="1" applyAlignment="1" applyProtection="1">
      <alignment vertical="center" wrapText="1"/>
      <protection locked="0"/>
    </xf>
    <xf numFmtId="3" fontId="3" fillId="0" borderId="34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  <protection locked="0"/>
    </xf>
    <xf numFmtId="9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center" vertical="center"/>
      <protection locked="0"/>
    </xf>
    <xf numFmtId="0" fontId="2" fillId="11" borderId="57" xfId="1" applyFont="1" applyFill="1" applyBorder="1" applyAlignment="1" applyProtection="1">
      <alignment vertical="center" wrapText="1"/>
      <protection locked="0"/>
    </xf>
    <xf numFmtId="3" fontId="3" fillId="0" borderId="12" xfId="1" applyNumberFormat="1" applyFont="1" applyFill="1" applyBorder="1" applyAlignment="1" applyProtection="1">
      <alignment horizontal="center" vertical="center"/>
      <protection locked="0"/>
    </xf>
    <xf numFmtId="3" fontId="3" fillId="0" borderId="16" xfId="1" applyNumberFormat="1" applyFont="1" applyFill="1" applyBorder="1" applyAlignment="1" applyProtection="1">
      <alignment horizontal="center" vertical="center"/>
      <protection locked="0"/>
    </xf>
    <xf numFmtId="3" fontId="3" fillId="0" borderId="27" xfId="1" applyNumberFormat="1" applyFont="1" applyFill="1" applyBorder="1" applyAlignment="1" applyProtection="1">
      <alignment horizontal="center" vertical="center"/>
      <protection locked="0"/>
    </xf>
    <xf numFmtId="3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11" borderId="52" xfId="1" applyFont="1" applyFill="1" applyBorder="1" applyAlignment="1" applyProtection="1">
      <alignment vertical="center" wrapText="1"/>
      <protection locked="0"/>
    </xf>
    <xf numFmtId="6" fontId="7" fillId="11" borderId="52" xfId="1" applyNumberFormat="1" applyFont="1" applyFill="1" applyBorder="1" applyAlignment="1" applyProtection="1">
      <alignment horizontal="center" vertical="center" wrapText="1"/>
      <protection locked="0"/>
    </xf>
    <xf numFmtId="3" fontId="7" fillId="11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11" borderId="26" xfId="1" applyFont="1" applyFill="1" applyBorder="1" applyAlignment="1" applyProtection="1">
      <alignment horizontal="center" vertical="center"/>
      <protection locked="0"/>
    </xf>
    <xf numFmtId="0" fontId="7" fillId="11" borderId="23" xfId="1" applyFont="1" applyFill="1" applyBorder="1" applyAlignment="1" applyProtection="1">
      <alignment horizontal="center" vertical="center"/>
      <protection locked="0"/>
    </xf>
    <xf numFmtId="0" fontId="7" fillId="4" borderId="63" xfId="1" applyFont="1" applyFill="1" applyBorder="1" applyAlignment="1" applyProtection="1">
      <alignment vertical="center" wrapText="1"/>
      <protection locked="0"/>
    </xf>
    <xf numFmtId="0" fontId="19" fillId="4" borderId="0" xfId="0" applyFont="1" applyFill="1"/>
    <xf numFmtId="0" fontId="20" fillId="4" borderId="0" xfId="0" applyFont="1" applyFill="1"/>
    <xf numFmtId="0" fontId="13" fillId="4" borderId="0" xfId="0" applyFont="1" applyFill="1"/>
    <xf numFmtId="0" fontId="14" fillId="4" borderId="0" xfId="0" applyFont="1" applyFill="1"/>
    <xf numFmtId="166" fontId="16" fillId="4" borderId="0" xfId="0" applyNumberFormat="1" applyFont="1" applyFill="1" applyAlignment="1">
      <alignment horizontal="left"/>
    </xf>
    <xf numFmtId="164" fontId="16" fillId="4" borderId="0" xfId="0" applyNumberFormat="1" applyFont="1" applyFill="1" applyAlignment="1">
      <alignment horizontal="left"/>
    </xf>
    <xf numFmtId="0" fontId="2" fillId="0" borderId="36" xfId="1" applyFont="1" applyFill="1" applyBorder="1" applyAlignment="1" applyProtection="1">
      <alignment vertical="center" wrapText="1"/>
      <protection locked="0"/>
    </xf>
    <xf numFmtId="6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36" xfId="1" applyNumberFormat="1" applyFont="1" applyFill="1" applyBorder="1" applyAlignment="1" applyProtection="1">
      <alignment horizontal="center" vertical="center"/>
      <protection locked="0"/>
    </xf>
    <xf numFmtId="9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1" applyFont="1" applyFill="1" applyBorder="1" applyAlignment="1" applyProtection="1">
      <alignment horizontal="center" vertical="center"/>
      <protection locked="0"/>
    </xf>
    <xf numFmtId="165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28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1" applyFont="1" applyFill="1" applyBorder="1" applyAlignment="1" applyProtection="1">
      <alignment horizontal="center" vertical="center" wrapText="1"/>
      <protection locked="0"/>
    </xf>
    <xf numFmtId="165" fontId="3" fillId="4" borderId="11" xfId="1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/>
    <xf numFmtId="164" fontId="3" fillId="0" borderId="39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39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165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1" applyFont="1" applyFill="1" applyBorder="1" applyAlignment="1" applyProtection="1">
      <alignment horizontal="center" vertical="center" wrapText="1"/>
      <protection locked="0"/>
    </xf>
    <xf numFmtId="164" fontId="3" fillId="0" borderId="40" xfId="1" applyNumberFormat="1" applyFont="1" applyFill="1" applyBorder="1" applyAlignment="1" applyProtection="1">
      <alignment horizontal="center" vertical="center" wrapText="1"/>
      <protection locked="0"/>
    </xf>
    <xf numFmtId="164" fontId="22" fillId="13" borderId="37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164" fontId="21" fillId="14" borderId="37" xfId="0" applyNumberFormat="1" applyFont="1" applyFill="1" applyBorder="1" applyAlignment="1">
      <alignment horizontal="center" vertical="center" wrapText="1"/>
    </xf>
    <xf numFmtId="0" fontId="27" fillId="4" borderId="50" xfId="0" applyFont="1" applyFill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 locked="0"/>
    </xf>
    <xf numFmtId="0" fontId="28" fillId="4" borderId="50" xfId="0" applyFont="1" applyFill="1" applyBorder="1" applyAlignment="1" applyProtection="1">
      <alignment vertical="center"/>
      <protection locked="0"/>
    </xf>
    <xf numFmtId="167" fontId="4" fillId="4" borderId="0" xfId="0" applyNumberFormat="1" applyFont="1" applyFill="1"/>
    <xf numFmtId="167" fontId="10" fillId="4" borderId="0" xfId="0" applyNumberFormat="1" applyFont="1" applyFill="1"/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3" fontId="7" fillId="4" borderId="9" xfId="1" applyNumberFormat="1" applyFont="1" applyFill="1" applyBorder="1" applyAlignment="1" applyProtection="1">
      <alignment horizontal="center" vertical="center"/>
    </xf>
    <xf numFmtId="0" fontId="11" fillId="4" borderId="0" xfId="0" applyFont="1" applyFill="1"/>
    <xf numFmtId="0" fontId="3" fillId="15" borderId="17" xfId="0" applyFont="1" applyFill="1" applyBorder="1" applyAlignment="1" applyProtection="1">
      <alignment horizontal="center" vertical="center" wrapText="1"/>
      <protection locked="0"/>
    </xf>
    <xf numFmtId="0" fontId="3" fillId="0" borderId="34" xfId="1" applyFont="1" applyFill="1" applyBorder="1" applyAlignment="1" applyProtection="1">
      <alignment horizontal="center" vertical="center"/>
      <protection locked="0"/>
    </xf>
    <xf numFmtId="0" fontId="3" fillId="4" borderId="12" xfId="1" applyFont="1" applyFill="1" applyBorder="1" applyAlignment="1" applyProtection="1">
      <alignment horizontal="center" vertical="center"/>
      <protection locked="0"/>
    </xf>
    <xf numFmtId="0" fontId="7" fillId="4" borderId="7" xfId="1" applyFont="1" applyFill="1" applyBorder="1" applyAlignment="1" applyProtection="1">
      <alignment horizontal="center" vertical="center"/>
    </xf>
    <xf numFmtId="164" fontId="22" fillId="17" borderId="66" xfId="0" applyNumberFormat="1" applyFont="1" applyFill="1" applyBorder="1" applyAlignment="1">
      <alignment vertical="center" wrapText="1"/>
    </xf>
    <xf numFmtId="164" fontId="8" fillId="17" borderId="0" xfId="0" applyNumberFormat="1" applyFont="1" applyFill="1" applyBorder="1" applyAlignment="1" applyProtection="1">
      <alignment wrapText="1"/>
      <protection locked="0"/>
    </xf>
    <xf numFmtId="164" fontId="22" fillId="17" borderId="0" xfId="0" applyNumberFormat="1" applyFont="1" applyFill="1" applyBorder="1" applyAlignment="1">
      <alignment vertical="center" wrapText="1"/>
    </xf>
    <xf numFmtId="164" fontId="10" fillId="17" borderId="0" xfId="0" applyNumberFormat="1" applyFont="1" applyFill="1" applyBorder="1" applyAlignment="1"/>
    <xf numFmtId="164" fontId="22" fillId="17" borderId="50" xfId="0" applyNumberFormat="1" applyFont="1" applyFill="1" applyBorder="1" applyAlignment="1">
      <alignment vertical="center" wrapText="1"/>
    </xf>
    <xf numFmtId="164" fontId="8" fillId="18" borderId="65" xfId="0" applyNumberFormat="1" applyFont="1" applyFill="1" applyBorder="1" applyAlignment="1" applyProtection="1">
      <alignment wrapText="1"/>
      <protection locked="0"/>
    </xf>
    <xf numFmtId="164" fontId="8" fillId="16" borderId="65" xfId="0" applyNumberFormat="1" applyFont="1" applyFill="1" applyBorder="1" applyAlignment="1" applyProtection="1">
      <alignment wrapText="1"/>
      <protection locked="0"/>
    </xf>
    <xf numFmtId="164" fontId="8" fillId="16" borderId="54" xfId="0" applyNumberFormat="1" applyFont="1" applyFill="1" applyBorder="1" applyAlignment="1" applyProtection="1">
      <alignment wrapText="1"/>
      <protection locked="0"/>
    </xf>
    <xf numFmtId="164" fontId="8" fillId="16" borderId="56" xfId="0" applyNumberFormat="1" applyFont="1" applyFill="1" applyBorder="1" applyAlignment="1" applyProtection="1">
      <alignment wrapText="1"/>
      <protection locked="0"/>
    </xf>
    <xf numFmtId="164" fontId="8" fillId="16" borderId="45" xfId="0" applyNumberFormat="1" applyFont="1" applyFill="1" applyBorder="1" applyAlignment="1" applyProtection="1">
      <alignment wrapText="1"/>
      <protection locked="0"/>
    </xf>
    <xf numFmtId="164" fontId="10" fillId="18" borderId="42" xfId="0" applyNumberFormat="1" applyFont="1" applyFill="1" applyBorder="1" applyAlignment="1"/>
    <xf numFmtId="164" fontId="10" fillId="18" borderId="62" xfId="0" applyNumberFormat="1" applyFont="1" applyFill="1" applyBorder="1" applyAlignment="1"/>
    <xf numFmtId="164" fontId="10" fillId="18" borderId="61" xfId="0" applyNumberFormat="1" applyFont="1" applyFill="1" applyBorder="1" applyAlignment="1"/>
    <xf numFmtId="164" fontId="10" fillId="18" borderId="64" xfId="0" applyNumberFormat="1" applyFont="1" applyFill="1" applyBorder="1" applyAlignment="1"/>
    <xf numFmtId="0" fontId="22" fillId="19" borderId="53" xfId="0" applyFont="1" applyFill="1" applyBorder="1" applyAlignment="1">
      <alignment vertical="center" wrapText="1"/>
    </xf>
    <xf numFmtId="0" fontId="22" fillId="19" borderId="55" xfId="0" applyFont="1" applyFill="1" applyBorder="1" applyAlignment="1">
      <alignment vertical="center" wrapText="1"/>
    </xf>
    <xf numFmtId="0" fontId="22" fillId="19" borderId="38" xfId="0" applyFont="1" applyFill="1" applyBorder="1" applyAlignment="1">
      <alignment vertical="center" wrapText="1"/>
    </xf>
    <xf numFmtId="0" fontId="7" fillId="10" borderId="37" xfId="1" applyFont="1" applyFill="1" applyBorder="1" applyAlignment="1" applyProtection="1">
      <alignment vertical="center" wrapText="1"/>
      <protection locked="0"/>
    </xf>
    <xf numFmtId="164" fontId="3" fillId="10" borderId="37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44" xfId="1" applyFont="1" applyFill="1" applyBorder="1" applyAlignment="1" applyProtection="1">
      <alignment horizontal="center" vertical="center"/>
      <protection locked="0"/>
    </xf>
    <xf numFmtId="0" fontId="3" fillId="10" borderId="67" xfId="1" applyFont="1" applyFill="1" applyBorder="1" applyAlignment="1" applyProtection="1">
      <alignment horizontal="center" vertical="center"/>
      <protection locked="0"/>
    </xf>
    <xf numFmtId="165" fontId="3" fillId="10" borderId="67" xfId="1" applyNumberFormat="1" applyFont="1" applyFill="1" applyBorder="1" applyAlignment="1" applyProtection="1">
      <alignment horizontal="center" vertical="center"/>
      <protection locked="0"/>
    </xf>
    <xf numFmtId="165" fontId="3" fillId="10" borderId="68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69" xfId="1" applyFont="1" applyFill="1" applyBorder="1" applyAlignment="1" applyProtection="1">
      <alignment horizontal="center" vertical="center"/>
      <protection locked="0"/>
    </xf>
    <xf numFmtId="0" fontId="3" fillId="10" borderId="23" xfId="1" applyFont="1" applyFill="1" applyBorder="1" applyAlignment="1" applyProtection="1">
      <alignment horizontal="center" vertical="center"/>
      <protection locked="0"/>
    </xf>
    <xf numFmtId="0" fontId="7" fillId="8" borderId="37" xfId="0" applyFont="1" applyFill="1" applyBorder="1" applyAlignment="1" applyProtection="1">
      <alignment vertical="center" wrapText="1"/>
      <protection locked="0"/>
    </xf>
    <xf numFmtId="164" fontId="3" fillId="9" borderId="37" xfId="1" applyNumberFormat="1" applyFont="1" applyFill="1" applyBorder="1" applyAlignment="1" applyProtection="1">
      <alignment horizontal="center" vertical="center" wrapText="1"/>
      <protection locked="0"/>
    </xf>
    <xf numFmtId="0" fontId="3" fillId="18" borderId="62" xfId="1" applyFont="1" applyFill="1" applyBorder="1" applyAlignment="1" applyProtection="1">
      <alignment horizontal="center" vertical="center" wrapText="1"/>
      <protection locked="0"/>
    </xf>
    <xf numFmtId="167" fontId="3" fillId="9" borderId="22" xfId="1" applyNumberFormat="1" applyFont="1" applyFill="1" applyBorder="1" applyAlignment="1" applyProtection="1">
      <alignment horizontal="center" vertical="center" wrapText="1"/>
      <protection locked="0"/>
    </xf>
    <xf numFmtId="165" fontId="3" fillId="9" borderId="22" xfId="1" applyNumberFormat="1" applyFont="1" applyFill="1" applyBorder="1" applyAlignment="1" applyProtection="1">
      <alignment horizontal="center" vertical="center" wrapText="1"/>
      <protection locked="0"/>
    </xf>
    <xf numFmtId="165" fontId="3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21" xfId="1" applyFont="1" applyFill="1" applyBorder="1" applyAlignment="1" applyProtection="1">
      <alignment horizontal="center" vertical="center"/>
      <protection locked="0"/>
    </xf>
    <xf numFmtId="167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7" fontId="3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48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0" fontId="4" fillId="0" borderId="27" xfId="1" applyFont="1" applyFill="1" applyBorder="1" applyAlignment="1" applyProtection="1">
      <alignment vertical="center" wrapText="1"/>
      <protection locked="0"/>
    </xf>
    <xf numFmtId="0" fontId="2" fillId="7" borderId="2" xfId="1" applyFont="1" applyFill="1" applyBorder="1" applyAlignment="1" applyProtection="1">
      <alignment vertical="center" wrapText="1"/>
      <protection locked="0"/>
    </xf>
    <xf numFmtId="0" fontId="2" fillId="7" borderId="7" xfId="1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30" fillId="7" borderId="18" xfId="0" applyFont="1" applyFill="1" applyBorder="1" applyAlignment="1">
      <alignment horizontal="center" vertical="center" wrapText="1"/>
    </xf>
    <xf numFmtId="0" fontId="30" fillId="7" borderId="19" xfId="0" applyFont="1" applyFill="1" applyBorder="1"/>
    <xf numFmtId="0" fontId="31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0" fontId="31" fillId="0" borderId="3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0" fontId="2" fillId="7" borderId="7" xfId="0" applyFont="1" applyFill="1" applyBorder="1" applyAlignment="1" applyProtection="1">
      <alignment horizontal="center" wrapText="1"/>
      <protection locked="0"/>
    </xf>
    <xf numFmtId="0" fontId="2" fillId="7" borderId="8" xfId="0" applyFont="1" applyFill="1" applyBorder="1" applyAlignment="1" applyProtection="1">
      <alignment horizont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2" fillId="7" borderId="33" xfId="0" applyFont="1" applyFill="1" applyBorder="1" applyAlignment="1" applyProtection="1">
      <alignment horizontal="center" wrapText="1"/>
      <protection locked="0"/>
    </xf>
    <xf numFmtId="0" fontId="2" fillId="7" borderId="32" xfId="0" applyFont="1" applyFill="1" applyBorder="1" applyAlignment="1" applyProtection="1">
      <alignment horizontal="center" wrapText="1"/>
      <protection locked="0"/>
    </xf>
    <xf numFmtId="0" fontId="12" fillId="7" borderId="37" xfId="0" applyFont="1" applyFill="1" applyBorder="1" applyAlignment="1" applyProtection="1">
      <alignment horizontal="center" wrapText="1"/>
      <protection locked="0"/>
    </xf>
    <xf numFmtId="0" fontId="2" fillId="20" borderId="55" xfId="0" applyFont="1" applyFill="1" applyBorder="1" applyAlignment="1" applyProtection="1">
      <alignment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wrapText="1"/>
      <protection locked="0"/>
    </xf>
    <xf numFmtId="0" fontId="33" fillId="0" borderId="74" xfId="0" applyFont="1" applyFill="1" applyBorder="1" applyAlignment="1" applyProtection="1">
      <alignment horizontal="center" wrapText="1"/>
      <protection locked="0"/>
    </xf>
    <xf numFmtId="0" fontId="33" fillId="0" borderId="71" xfId="0" applyFont="1" applyFill="1" applyBorder="1" applyAlignment="1" applyProtection="1">
      <alignment horizontal="center" wrapText="1"/>
      <protection locked="0"/>
    </xf>
    <xf numFmtId="0" fontId="33" fillId="0" borderId="70" xfId="0" applyFont="1" applyFill="1" applyBorder="1" applyAlignment="1" applyProtection="1">
      <alignment horizontal="center" wrapText="1"/>
      <protection locked="0"/>
    </xf>
    <xf numFmtId="0" fontId="33" fillId="0" borderId="72" xfId="0" applyFont="1" applyFill="1" applyBorder="1" applyAlignment="1" applyProtection="1">
      <alignment horizontal="center" wrapText="1"/>
      <protection locked="0"/>
    </xf>
    <xf numFmtId="0" fontId="33" fillId="0" borderId="55" xfId="0" applyFont="1" applyFill="1" applyBorder="1" applyAlignment="1" applyProtection="1">
      <alignment horizontal="center" wrapText="1"/>
      <protection locked="0"/>
    </xf>
    <xf numFmtId="0" fontId="4" fillId="0" borderId="39" xfId="1" applyFont="1" applyFill="1" applyBorder="1" applyAlignment="1" applyProtection="1">
      <alignment vertical="center" wrapText="1"/>
      <protection locked="0"/>
    </xf>
    <xf numFmtId="6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Border="1" applyAlignment="1">
      <alignment horizontal="right"/>
    </xf>
    <xf numFmtId="6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6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6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6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vertical="center" wrapText="1"/>
      <protection locked="0"/>
    </xf>
    <xf numFmtId="164" fontId="4" fillId="0" borderId="12" xfId="1" applyNumberFormat="1" applyFont="1" applyFill="1" applyBorder="1" applyAlignment="1" applyProtection="1">
      <alignment vertical="center" wrapText="1"/>
      <protection locked="0"/>
    </xf>
    <xf numFmtId="164" fontId="2" fillId="0" borderId="5" xfId="1" applyNumberFormat="1" applyFont="1" applyFill="1" applyBorder="1" applyAlignment="1" applyProtection="1">
      <alignment vertical="center" wrapText="1"/>
      <protection locked="0"/>
    </xf>
    <xf numFmtId="164" fontId="2" fillId="0" borderId="39" xfId="1" applyNumberFormat="1" applyFont="1" applyFill="1" applyBorder="1" applyAlignment="1" applyProtection="1">
      <alignment vertical="center" wrapText="1"/>
      <protection locked="0"/>
    </xf>
    <xf numFmtId="0" fontId="4" fillId="21" borderId="39" xfId="1" applyFont="1" applyFill="1" applyBorder="1" applyAlignment="1" applyProtection="1">
      <alignment vertical="center" wrapText="1"/>
      <protection locked="0"/>
    </xf>
    <xf numFmtId="6" fontId="4" fillId="21" borderId="12" xfId="1" applyNumberFormat="1" applyFont="1" applyFill="1" applyBorder="1" applyAlignment="1" applyProtection="1">
      <alignment horizontal="right" vertical="center" wrapText="1"/>
      <protection locked="0"/>
    </xf>
    <xf numFmtId="6" fontId="4" fillId="21" borderId="11" xfId="1" applyNumberFormat="1" applyFont="1" applyFill="1" applyBorder="1" applyAlignment="1" applyProtection="1">
      <alignment horizontal="right" vertical="center" wrapText="1"/>
      <protection locked="0"/>
    </xf>
    <xf numFmtId="6" fontId="2" fillId="21" borderId="5" xfId="1" applyNumberFormat="1" applyFont="1" applyFill="1" applyBorder="1" applyAlignment="1" applyProtection="1">
      <alignment horizontal="right" vertical="center" wrapText="1"/>
      <protection locked="0"/>
    </xf>
    <xf numFmtId="6" fontId="4" fillId="21" borderId="16" xfId="1" applyNumberFormat="1" applyFont="1" applyFill="1" applyBorder="1" applyAlignment="1" applyProtection="1">
      <alignment horizontal="right" vertical="center" wrapText="1"/>
      <protection locked="0"/>
    </xf>
    <xf numFmtId="6" fontId="4" fillId="21" borderId="14" xfId="1" applyNumberFormat="1" applyFont="1" applyFill="1" applyBorder="1" applyAlignment="1" applyProtection="1">
      <alignment horizontal="right" vertical="center" wrapText="1"/>
      <protection locked="0"/>
    </xf>
    <xf numFmtId="164" fontId="4" fillId="21" borderId="11" xfId="1" applyNumberFormat="1" applyFont="1" applyFill="1" applyBorder="1" applyAlignment="1" applyProtection="1">
      <alignment vertical="center" wrapText="1"/>
      <protection locked="0"/>
    </xf>
    <xf numFmtId="164" fontId="4" fillId="21" borderId="12" xfId="1" applyNumberFormat="1" applyFont="1" applyFill="1" applyBorder="1" applyAlignment="1" applyProtection="1">
      <alignment vertical="center" wrapText="1"/>
      <protection locked="0"/>
    </xf>
    <xf numFmtId="164" fontId="2" fillId="21" borderId="5" xfId="1" applyNumberFormat="1" applyFont="1" applyFill="1" applyBorder="1" applyAlignment="1" applyProtection="1">
      <alignment vertical="center" wrapText="1"/>
      <protection locked="0"/>
    </xf>
    <xf numFmtId="164" fontId="2" fillId="21" borderId="39" xfId="1" applyNumberFormat="1" applyFont="1" applyFill="1" applyBorder="1" applyAlignment="1" applyProtection="1">
      <alignment vertical="center" wrapText="1"/>
      <protection locked="0"/>
    </xf>
    <xf numFmtId="0" fontId="4" fillId="21" borderId="12" xfId="1" applyFont="1" applyFill="1" applyBorder="1" applyAlignment="1" applyProtection="1">
      <alignment vertical="center" wrapText="1"/>
      <protection locked="0"/>
    </xf>
    <xf numFmtId="5" fontId="10" fillId="0" borderId="75" xfId="0" applyNumberFormat="1" applyFont="1" applyFill="1" applyBorder="1"/>
    <xf numFmtId="164" fontId="10" fillId="0" borderId="11" xfId="0" applyNumberFormat="1" applyFont="1" applyFill="1" applyBorder="1" applyAlignment="1">
      <alignment vertical="center"/>
    </xf>
    <xf numFmtId="0" fontId="4" fillId="0" borderId="40" xfId="1" applyFont="1" applyFill="1" applyBorder="1" applyAlignment="1" applyProtection="1">
      <alignment vertical="center" wrapText="1"/>
      <protection locked="0"/>
    </xf>
    <xf numFmtId="6" fontId="4" fillId="0" borderId="27" xfId="1" applyNumberFormat="1" applyFont="1" applyFill="1" applyBorder="1" applyAlignment="1" applyProtection="1">
      <alignment horizontal="right" vertical="center" wrapText="1"/>
      <protection locked="0"/>
    </xf>
    <xf numFmtId="6" fontId="4" fillId="0" borderId="28" xfId="1" applyNumberFormat="1" applyFont="1" applyFill="1" applyBorder="1" applyAlignment="1" applyProtection="1">
      <alignment horizontal="right" vertical="center" wrapText="1"/>
      <protection locked="0"/>
    </xf>
    <xf numFmtId="6" fontId="2" fillId="0" borderId="30" xfId="1" applyNumberFormat="1" applyFont="1" applyFill="1" applyBorder="1" applyAlignment="1" applyProtection="1">
      <alignment horizontal="right" vertical="center" wrapText="1"/>
      <protection locked="0"/>
    </xf>
    <xf numFmtId="6" fontId="4" fillId="0" borderId="3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8" xfId="1" applyNumberFormat="1" applyFont="1" applyFill="1" applyBorder="1" applyAlignment="1" applyProtection="1">
      <alignment vertical="center" wrapText="1"/>
      <protection locked="0"/>
    </xf>
    <xf numFmtId="164" fontId="4" fillId="0" borderId="27" xfId="1" applyNumberFormat="1" applyFont="1" applyFill="1" applyBorder="1" applyAlignment="1" applyProtection="1">
      <alignment vertical="center" wrapText="1"/>
      <protection locked="0"/>
    </xf>
    <xf numFmtId="164" fontId="2" fillId="0" borderId="30" xfId="1" applyNumberFormat="1" applyFont="1" applyFill="1" applyBorder="1" applyAlignment="1" applyProtection="1">
      <alignment vertical="center" wrapText="1"/>
      <protection locked="0"/>
    </xf>
    <xf numFmtId="164" fontId="2" fillId="0" borderId="40" xfId="1" applyNumberFormat="1" applyFont="1" applyFill="1" applyBorder="1" applyAlignment="1" applyProtection="1">
      <alignment vertical="center" wrapText="1"/>
      <protection locked="0"/>
    </xf>
    <xf numFmtId="0" fontId="2" fillId="20" borderId="37" xfId="0" applyFont="1" applyFill="1" applyBorder="1" applyAlignment="1" applyProtection="1">
      <alignment vertical="center" wrapText="1"/>
      <protection locked="0"/>
    </xf>
    <xf numFmtId="6" fontId="2" fillId="7" borderId="21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22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23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26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25" xfId="1" applyNumberFormat="1" applyFont="1" applyFill="1" applyBorder="1" applyAlignment="1" applyProtection="1">
      <alignment horizontal="right" vertical="center" wrapText="1"/>
      <protection locked="0"/>
    </xf>
    <xf numFmtId="164" fontId="2" fillId="7" borderId="22" xfId="1" applyNumberFormat="1" applyFont="1" applyFill="1" applyBorder="1" applyAlignment="1" applyProtection="1">
      <alignment vertical="center" wrapText="1"/>
      <protection locked="0"/>
    </xf>
    <xf numFmtId="164" fontId="2" fillId="7" borderId="21" xfId="1" applyNumberFormat="1" applyFont="1" applyFill="1" applyBorder="1" applyAlignment="1" applyProtection="1">
      <alignment vertical="center" wrapText="1"/>
      <protection locked="0"/>
    </xf>
    <xf numFmtId="164" fontId="2" fillId="7" borderId="23" xfId="1" applyNumberFormat="1" applyFont="1" applyFill="1" applyBorder="1" applyAlignment="1" applyProtection="1">
      <alignment vertical="center" wrapText="1"/>
      <protection locked="0"/>
    </xf>
    <xf numFmtId="164" fontId="2" fillId="7" borderId="37" xfId="1" applyNumberFormat="1" applyFont="1" applyFill="1" applyBorder="1" applyAlignment="1" applyProtection="1">
      <alignment vertical="center" wrapText="1"/>
      <protection locked="0"/>
    </xf>
    <xf numFmtId="0" fontId="2" fillId="7" borderId="34" xfId="1" applyFont="1" applyFill="1" applyBorder="1" applyAlignment="1" applyProtection="1">
      <alignment vertical="center" wrapText="1"/>
      <protection locked="0"/>
    </xf>
    <xf numFmtId="6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6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6" fontId="2" fillId="0" borderId="35" xfId="1" applyNumberFormat="1" applyFont="1" applyFill="1" applyBorder="1" applyAlignment="1" applyProtection="1">
      <alignment horizontal="center" vertical="center" wrapText="1"/>
      <protection locked="0"/>
    </xf>
    <xf numFmtId="6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6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1" applyNumberFormat="1" applyFont="1" applyFill="1" applyBorder="1" applyAlignment="1" applyProtection="1">
      <alignment vertical="center" wrapText="1"/>
      <protection locked="0"/>
    </xf>
    <xf numFmtId="164" fontId="2" fillId="0" borderId="4" xfId="1" applyNumberFormat="1" applyFont="1" applyFill="1" applyBorder="1" applyAlignment="1" applyProtection="1">
      <alignment vertical="center" wrapText="1"/>
      <protection locked="0"/>
    </xf>
    <xf numFmtId="164" fontId="2" fillId="0" borderId="42" xfId="1" applyNumberFormat="1" applyFont="1" applyFill="1" applyBorder="1" applyAlignment="1" applyProtection="1">
      <alignment vertical="center" wrapText="1"/>
      <protection locked="0"/>
    </xf>
    <xf numFmtId="164" fontId="4" fillId="0" borderId="31" xfId="1" applyNumberFormat="1" applyFont="1" applyFill="1" applyBorder="1" applyAlignment="1" applyProtection="1">
      <alignment vertical="center" wrapText="1"/>
      <protection locked="0"/>
    </xf>
    <xf numFmtId="164" fontId="4" fillId="0" borderId="16" xfId="1" applyNumberFormat="1" applyFont="1" applyFill="1" applyBorder="1" applyAlignment="1" applyProtection="1">
      <alignment vertical="center" wrapText="1"/>
      <protection locked="0"/>
    </xf>
    <xf numFmtId="164" fontId="4" fillId="0" borderId="48" xfId="1" applyNumberFormat="1" applyFont="1" applyFill="1" applyBorder="1" applyAlignment="1" applyProtection="1">
      <alignment vertical="center" wrapText="1"/>
      <protection locked="0"/>
    </xf>
    <xf numFmtId="164" fontId="2" fillId="0" borderId="49" xfId="1" applyNumberFormat="1" applyFont="1" applyFill="1" applyBorder="1" applyAlignment="1" applyProtection="1">
      <alignment vertical="center" wrapText="1"/>
      <protection locked="0"/>
    </xf>
    <xf numFmtId="0" fontId="2" fillId="7" borderId="44" xfId="1" applyFont="1" applyFill="1" applyBorder="1" applyAlignment="1" applyProtection="1">
      <alignment vertical="center" wrapText="1"/>
      <protection locked="0"/>
    </xf>
    <xf numFmtId="0" fontId="2" fillId="7" borderId="52" xfId="1" applyFont="1" applyFill="1" applyBorder="1" applyAlignment="1" applyProtection="1">
      <alignment vertical="center" wrapText="1"/>
      <protection locked="0"/>
    </xf>
    <xf numFmtId="6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6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2" xfId="1" applyFont="1" applyFill="1" applyBorder="1" applyAlignment="1" applyProtection="1">
      <alignment vertical="center" wrapText="1"/>
      <protection locked="0"/>
    </xf>
    <xf numFmtId="6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Border="1" applyAlignment="1">
      <alignment horizontal="right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7" borderId="47" xfId="1" applyFont="1" applyFill="1" applyBorder="1" applyAlignment="1" applyProtection="1">
      <alignment vertical="center" wrapText="1"/>
      <protection locked="0"/>
    </xf>
    <xf numFmtId="6" fontId="4" fillId="0" borderId="48" xfId="1" applyNumberFormat="1" applyFont="1" applyFill="1" applyBorder="1" applyAlignment="1" applyProtection="1">
      <alignment horizontal="right" vertical="center" wrapText="1"/>
      <protection locked="0"/>
    </xf>
    <xf numFmtId="6" fontId="2" fillId="0" borderId="48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8" xfId="1" applyNumberFormat="1" applyFont="1" applyFill="1" applyBorder="1" applyAlignment="1" applyProtection="1">
      <alignment horizontal="right" vertical="center" wrapText="1"/>
      <protection locked="0"/>
    </xf>
    <xf numFmtId="6" fontId="2" fillId="7" borderId="9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left"/>
    </xf>
    <xf numFmtId="6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5" fillId="4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2" fillId="7" borderId="53" xfId="0" applyFont="1" applyFill="1" applyBorder="1" applyAlignment="1" applyProtection="1">
      <alignment horizontal="left" wrapText="1"/>
      <protection locked="0"/>
    </xf>
    <xf numFmtId="0" fontId="2" fillId="7" borderId="38" xfId="0" applyFont="1" applyFill="1" applyBorder="1" applyAlignment="1" applyProtection="1">
      <alignment horizontal="left" wrapText="1"/>
      <protection locked="0"/>
    </xf>
    <xf numFmtId="0" fontId="12" fillId="7" borderId="21" xfId="0" applyFont="1" applyFill="1" applyBorder="1" applyAlignment="1" applyProtection="1">
      <alignment horizontal="center" wrapText="1"/>
      <protection locked="0"/>
    </xf>
    <xf numFmtId="0" fontId="12" fillId="7" borderId="22" xfId="0" applyFont="1" applyFill="1" applyBorder="1" applyAlignment="1" applyProtection="1">
      <alignment horizontal="center" wrapText="1"/>
      <protection locked="0"/>
    </xf>
    <xf numFmtId="0" fontId="12" fillId="7" borderId="23" xfId="0" applyFont="1" applyFill="1" applyBorder="1" applyAlignment="1" applyProtection="1">
      <alignment horizontal="center" wrapText="1"/>
      <protection locked="0"/>
    </xf>
    <xf numFmtId="0" fontId="12" fillId="7" borderId="52" xfId="0" applyFont="1" applyFill="1" applyBorder="1" applyAlignment="1" applyProtection="1">
      <alignment horizontal="center" vertical="center"/>
      <protection locked="0"/>
    </xf>
    <xf numFmtId="0" fontId="12" fillId="7" borderId="36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2" fillId="0" borderId="51" xfId="1" applyFont="1" applyFill="1" applyBorder="1" applyAlignment="1" applyProtection="1">
      <alignment horizontal="center" vertical="center" wrapText="1"/>
      <protection locked="0"/>
    </xf>
    <xf numFmtId="0" fontId="2" fillId="0" borderId="66" xfId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7" borderId="17" xfId="0" applyFont="1" applyFill="1" applyBorder="1" applyAlignment="1">
      <alignment horizontal="left"/>
    </xf>
    <xf numFmtId="0" fontId="30" fillId="7" borderId="18" xfId="0" applyFont="1" applyFill="1" applyBorder="1" applyAlignment="1">
      <alignment horizontal="left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horizontal="left" vertical="center" wrapText="1"/>
      <protection locked="0"/>
    </xf>
    <xf numFmtId="0" fontId="31" fillId="0" borderId="47" xfId="0" applyFont="1" applyFill="1" applyBorder="1" applyAlignment="1" applyProtection="1">
      <alignment horizontal="left" vertical="center" wrapText="1"/>
      <protection locked="0"/>
    </xf>
    <xf numFmtId="0" fontId="31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31" fillId="0" borderId="7" xfId="0" applyFont="1" applyFill="1" applyBorder="1" applyAlignment="1" applyProtection="1">
      <alignment horizontal="left" vertical="center" wrapText="1"/>
      <protection locked="0"/>
    </xf>
    <xf numFmtId="0" fontId="31" fillId="0" borderId="8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left" wrapText="1"/>
      <protection locked="0"/>
    </xf>
    <xf numFmtId="0" fontId="32" fillId="0" borderId="3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2" fillId="4" borderId="3" xfId="0" applyFont="1" applyFill="1" applyBorder="1" applyAlignment="1" applyProtection="1">
      <alignment horizontal="center" wrapText="1"/>
      <protection locked="0"/>
    </xf>
    <xf numFmtId="0" fontId="12" fillId="4" borderId="4" xfId="0" applyFont="1" applyFill="1" applyBorder="1" applyAlignment="1" applyProtection="1">
      <alignment horizontal="center" wrapText="1"/>
      <protection locked="0"/>
    </xf>
    <xf numFmtId="0" fontId="12" fillId="4" borderId="45" xfId="0" applyFont="1" applyFill="1" applyBorder="1" applyAlignment="1" applyProtection="1">
      <alignment horizontal="center" wrapText="1"/>
      <protection locked="0"/>
    </xf>
    <xf numFmtId="0" fontId="12" fillId="4" borderId="39" xfId="0" applyFont="1" applyFill="1" applyBorder="1" applyAlignment="1" applyProtection="1">
      <alignment horizontal="center" wrapText="1"/>
      <protection locked="0"/>
    </xf>
    <xf numFmtId="0" fontId="18" fillId="4" borderId="0" xfId="0" applyFont="1" applyFill="1" applyAlignment="1" applyProtection="1">
      <alignment horizontal="left" vertical="top" wrapText="1"/>
      <protection locked="0"/>
    </xf>
    <xf numFmtId="0" fontId="18" fillId="4" borderId="50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Operating%20Framework/Quarterly%20POF%20Tables%20SENT/2015-16%20Directorate%20POF%20Tables/Q4%20(to%20send)/Metrics%20spreadsheets/POF%20Appendix%202%20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ment Guidance"/>
      <sheetName val="Q4 Summary"/>
      <sheetName val="Q4 Detail"/>
      <sheetName val="Pharmacy Apportionment"/>
      <sheetName val="CRF CCTC apportionment"/>
      <sheetName val="LABS Apportionment"/>
      <sheetName val="MIMPS Apportionment"/>
      <sheetName val="RM&amp;G Corp &amp; Ohead Apportionment"/>
      <sheetName val="RCF"/>
      <sheetName val="Income "/>
    </sheetNames>
    <sheetDataSet>
      <sheetData sheetId="0"/>
      <sheetData sheetId="1"/>
      <sheetData sheetId="2">
        <row r="6">
          <cell r="E6">
            <v>33054</v>
          </cell>
        </row>
      </sheetData>
      <sheetData sheetId="3">
        <row r="5">
          <cell r="M5">
            <v>1088.9325296157058</v>
          </cell>
        </row>
        <row r="6">
          <cell r="M6">
            <v>151.24062911329247</v>
          </cell>
        </row>
        <row r="7">
          <cell r="M7">
            <v>1739.2672348028636</v>
          </cell>
        </row>
        <row r="8">
          <cell r="M8">
            <v>2056.8725559407776</v>
          </cell>
        </row>
        <row r="9">
          <cell r="M9">
            <v>5252.9525472916712</v>
          </cell>
        </row>
        <row r="10">
          <cell r="M10">
            <v>2446.1029183495953</v>
          </cell>
        </row>
        <row r="12">
          <cell r="M12">
            <v>320.12599828980245</v>
          </cell>
        </row>
        <row r="13">
          <cell r="M13">
            <v>1879.1648167326591</v>
          </cell>
        </row>
        <row r="15">
          <cell r="M15">
            <v>2948.9780101512929</v>
          </cell>
        </row>
        <row r="16">
          <cell r="M16">
            <v>8169.6658898987953</v>
          </cell>
        </row>
        <row r="17">
          <cell r="M17">
            <v>5134.1530331231806</v>
          </cell>
        </row>
        <row r="18">
          <cell r="M18">
            <v>4694.7737987775472</v>
          </cell>
        </row>
        <row r="19">
          <cell r="M19">
            <v>291.13821104308801</v>
          </cell>
        </row>
        <row r="20">
          <cell r="M20">
            <v>85115</v>
          </cell>
        </row>
        <row r="21">
          <cell r="M21">
            <v>5182.5248276679158</v>
          </cell>
        </row>
        <row r="22">
          <cell r="M22">
            <v>59687.265520189983</v>
          </cell>
        </row>
        <row r="23">
          <cell r="M23">
            <v>1717.8414790118136</v>
          </cell>
        </row>
      </sheetData>
      <sheetData sheetId="4">
        <row r="4">
          <cell r="C4">
            <v>726826.23188405798</v>
          </cell>
        </row>
        <row r="5">
          <cell r="C5">
            <v>180308.81521739133</v>
          </cell>
        </row>
        <row r="6">
          <cell r="C6">
            <v>44727.768115942032</v>
          </cell>
        </row>
        <row r="7">
          <cell r="C7">
            <v>153751.70289855072</v>
          </cell>
        </row>
        <row r="8">
          <cell r="C8">
            <v>25159.369565217392</v>
          </cell>
        </row>
        <row r="9">
          <cell r="C9">
            <v>26557.11231884058</v>
          </cell>
        </row>
        <row r="15">
          <cell r="C15">
            <v>0</v>
          </cell>
          <cell r="E15">
            <v>19985.809312638579</v>
          </cell>
          <cell r="G15">
            <v>508.72507122507125</v>
          </cell>
        </row>
        <row r="16">
          <cell r="C16">
            <v>45748.770833333336</v>
          </cell>
          <cell r="E16">
            <v>31177.862527716185</v>
          </cell>
          <cell r="G16">
            <v>2136.6452991452993</v>
          </cell>
        </row>
        <row r="17">
          <cell r="C17">
            <v>41589.791666666664</v>
          </cell>
          <cell r="E17">
            <v>59157.995565410194</v>
          </cell>
          <cell r="G17">
            <v>2726.766381766382</v>
          </cell>
        </row>
        <row r="18">
          <cell r="C18">
            <v>0</v>
          </cell>
          <cell r="E18">
            <v>19186.376940133036</v>
          </cell>
          <cell r="G18">
            <v>488.37606837606842</v>
          </cell>
          <cell r="K18">
            <v>14527.215261958996</v>
          </cell>
        </row>
        <row r="19">
          <cell r="B19">
            <v>0</v>
          </cell>
          <cell r="E19">
            <v>19985.809312638579</v>
          </cell>
          <cell r="G19">
            <v>508.72507122507125</v>
          </cell>
        </row>
        <row r="20">
          <cell r="C20">
            <v>60305.197916666664</v>
          </cell>
          <cell r="E20">
            <v>155889.31263858092</v>
          </cell>
          <cell r="G20">
            <v>5738.4188034188037</v>
          </cell>
          <cell r="K20">
            <v>12991.8185269552</v>
          </cell>
        </row>
        <row r="21">
          <cell r="C21">
            <v>0</v>
          </cell>
          <cell r="E21">
            <v>23183.538802660751</v>
          </cell>
          <cell r="G21">
            <v>590.12108262108268</v>
          </cell>
        </row>
        <row r="22">
          <cell r="C22">
            <v>0</v>
          </cell>
          <cell r="E22">
            <v>19186.376940133036</v>
          </cell>
          <cell r="G22">
            <v>488.37606837606842</v>
          </cell>
        </row>
        <row r="23">
          <cell r="C23">
            <v>0</v>
          </cell>
          <cell r="E23">
            <v>3197.7294900221727</v>
          </cell>
          <cell r="G23">
            <v>81.396011396011403</v>
          </cell>
        </row>
        <row r="24">
          <cell r="C24">
            <v>44362.444444444445</v>
          </cell>
          <cell r="E24">
            <v>71149.48115299335</v>
          </cell>
          <cell r="G24">
            <v>3113.397435897436</v>
          </cell>
          <cell r="K24">
            <v>31109.499999999996</v>
          </cell>
        </row>
        <row r="25">
          <cell r="C25">
            <v>31192.34375</v>
          </cell>
          <cell r="E25">
            <v>8793.7560975609758</v>
          </cell>
          <cell r="G25">
            <v>1139.5441595441596</v>
          </cell>
        </row>
        <row r="26">
          <cell r="C26">
            <v>0</v>
          </cell>
          <cell r="E26">
            <v>27980.133037694013</v>
          </cell>
          <cell r="G26">
            <v>712.21509971509977</v>
          </cell>
        </row>
        <row r="27">
          <cell r="C27">
            <v>250925.07638888891</v>
          </cell>
          <cell r="E27">
            <v>0</v>
          </cell>
          <cell r="G27">
            <v>0</v>
          </cell>
        </row>
        <row r="28">
          <cell r="C28">
            <v>51294.076388888891</v>
          </cell>
          <cell r="E28">
            <v>164683.0687361419</v>
          </cell>
          <cell r="G28">
            <v>5697.7207977207981</v>
          </cell>
          <cell r="K28">
            <v>3590.4662110858008</v>
          </cell>
        </row>
        <row r="29">
          <cell r="C29">
            <v>40896.628472222226</v>
          </cell>
          <cell r="E29">
            <v>84739.83148558758</v>
          </cell>
          <cell r="G29">
            <v>3357.5854700854702</v>
          </cell>
        </row>
        <row r="30">
          <cell r="C30">
            <v>32578.670138888891</v>
          </cell>
          <cell r="E30">
            <v>799.43237250554319</v>
          </cell>
          <cell r="G30">
            <v>976.75213675213683</v>
          </cell>
        </row>
        <row r="31">
          <cell r="C31">
            <v>0</v>
          </cell>
          <cell r="E31">
            <v>4796.5942350332589</v>
          </cell>
          <cell r="G31">
            <v>122.0940170940171</v>
          </cell>
        </row>
        <row r="32">
          <cell r="C32">
            <v>0</v>
          </cell>
          <cell r="E32">
            <v>7194.8913525498883</v>
          </cell>
          <cell r="G32">
            <v>183.14102564102566</v>
          </cell>
        </row>
      </sheetData>
      <sheetData sheetId="5">
        <row r="93">
          <cell r="D93">
            <v>0</v>
          </cell>
        </row>
        <row r="94">
          <cell r="D94">
            <v>4403.646914285715</v>
          </cell>
        </row>
        <row r="95">
          <cell r="D95">
            <v>4403.646914285715</v>
          </cell>
        </row>
        <row r="96">
          <cell r="D96">
            <v>9068.2738285714295</v>
          </cell>
        </row>
        <row r="98">
          <cell r="D98">
            <v>6110.7669142857148</v>
          </cell>
        </row>
        <row r="99">
          <cell r="D99">
            <v>2935.7646095238097</v>
          </cell>
        </row>
        <row r="102">
          <cell r="D102">
            <v>7352.4115238095237</v>
          </cell>
        </row>
        <row r="103">
          <cell r="D103">
            <v>4520.7869142857153</v>
          </cell>
        </row>
        <row r="104">
          <cell r="D104">
            <v>17801.910857142859</v>
          </cell>
        </row>
        <row r="106">
          <cell r="D106">
            <v>3545.1446095238098</v>
          </cell>
        </row>
        <row r="107">
          <cell r="D107">
            <v>3475.7646095238097</v>
          </cell>
        </row>
        <row r="109">
          <cell r="D109">
            <v>0</v>
          </cell>
        </row>
        <row r="119">
          <cell r="D119">
            <v>1467.8823047619048</v>
          </cell>
        </row>
      </sheetData>
      <sheetData sheetId="6">
        <row r="4">
          <cell r="P4">
            <v>4412.4936642030098</v>
          </cell>
        </row>
        <row r="5">
          <cell r="P5">
            <v>18441.627931860225</v>
          </cell>
        </row>
        <row r="6">
          <cell r="P6">
            <v>231146.27435244265</v>
          </cell>
        </row>
        <row r="7">
          <cell r="P7">
            <v>1012.2779582583375</v>
          </cell>
        </row>
        <row r="8">
          <cell r="P8">
            <v>3335.3260932358048</v>
          </cell>
        </row>
      </sheetData>
      <sheetData sheetId="7">
        <row r="17">
          <cell r="J17">
            <v>15112.245901639346</v>
          </cell>
          <cell r="K17">
            <v>3166.182669789227</v>
          </cell>
        </row>
        <row r="18">
          <cell r="J18">
            <v>29860.016393442624</v>
          </cell>
          <cell r="K18">
            <v>11477.412177985949</v>
          </cell>
        </row>
        <row r="19">
          <cell r="J19">
            <v>15444.836065573771</v>
          </cell>
          <cell r="K19">
            <v>5936.5925058548</v>
          </cell>
        </row>
        <row r="20">
          <cell r="J20">
            <v>14415.180327868853</v>
          </cell>
          <cell r="K20">
            <v>5540.8196721311469</v>
          </cell>
        </row>
        <row r="21">
          <cell r="J21">
            <v>5148.2786885245905</v>
          </cell>
          <cell r="K21">
            <v>1978.8641686182668</v>
          </cell>
        </row>
        <row r="22">
          <cell r="J22">
            <v>56631.065573770495</v>
          </cell>
          <cell r="K22">
            <v>21767.505854800937</v>
          </cell>
        </row>
        <row r="23">
          <cell r="J23">
            <v>26771.049180327871</v>
          </cell>
          <cell r="K23">
            <v>10290.093676814988</v>
          </cell>
        </row>
        <row r="24">
          <cell r="J24">
            <v>5148.2786885245905</v>
          </cell>
          <cell r="K24">
            <v>1978.8641686182668</v>
          </cell>
        </row>
        <row r="25">
          <cell r="J25">
            <v>8586.2786885245896</v>
          </cell>
          <cell r="K25">
            <v>1978.8641686182668</v>
          </cell>
        </row>
        <row r="26">
          <cell r="J26">
            <v>21622.77049180328</v>
          </cell>
          <cell r="K26">
            <v>8311.2295081967204</v>
          </cell>
        </row>
        <row r="27">
          <cell r="J27">
            <v>39321.737704918036</v>
          </cell>
          <cell r="K27">
            <v>9498.5480093676815</v>
          </cell>
        </row>
        <row r="28">
          <cell r="J28">
            <v>80313.147540983613</v>
          </cell>
          <cell r="K28">
            <v>30870.281030444967</v>
          </cell>
        </row>
        <row r="29">
          <cell r="J29">
            <v>31919.327868852459</v>
          </cell>
          <cell r="K29">
            <v>12268.957845433255</v>
          </cell>
        </row>
        <row r="30">
          <cell r="J30">
            <v>54571.75409836066</v>
          </cell>
          <cell r="K30">
            <v>20975.960187353627</v>
          </cell>
        </row>
        <row r="31">
          <cell r="J31">
            <v>13385.524590163935</v>
          </cell>
          <cell r="K31">
            <v>5145.0468384074939</v>
          </cell>
        </row>
        <row r="32">
          <cell r="J32">
            <v>5497.311475409836</v>
          </cell>
          <cell r="K32">
            <v>791.54566744730676</v>
          </cell>
        </row>
        <row r="33">
          <cell r="J33">
            <v>17171.557377049179</v>
          </cell>
          <cell r="K33">
            <v>3957.7283372365337</v>
          </cell>
        </row>
        <row r="34">
          <cell r="J34">
            <v>9732.2786885245896</v>
          </cell>
          <cell r="K34">
            <v>1978.8641686182668</v>
          </cell>
        </row>
        <row r="35">
          <cell r="J35">
            <v>3205.3114754098365</v>
          </cell>
          <cell r="K35">
            <v>791.54566744730676</v>
          </cell>
        </row>
        <row r="36">
          <cell r="J36">
            <v>1029.655737704918</v>
          </cell>
          <cell r="K36">
            <v>395.77283372365338</v>
          </cell>
        </row>
        <row r="37">
          <cell r="J37">
            <v>0</v>
          </cell>
          <cell r="K37">
            <v>0</v>
          </cell>
        </row>
        <row r="38">
          <cell r="J38">
            <v>5148.2786885245905</v>
          </cell>
          <cell r="K38">
            <v>1978.8641686182668</v>
          </cell>
        </row>
        <row r="39">
          <cell r="J39">
            <v>8588.2786885245896</v>
          </cell>
          <cell r="K39">
            <v>1978.8641686182668</v>
          </cell>
        </row>
        <row r="40">
          <cell r="J40">
            <v>6177.9344262295081</v>
          </cell>
          <cell r="K40">
            <v>2374.6370023419204</v>
          </cell>
        </row>
        <row r="41">
          <cell r="J41">
            <v>0</v>
          </cell>
          <cell r="K41">
            <v>0</v>
          </cell>
        </row>
        <row r="42">
          <cell r="J42">
            <v>0</v>
          </cell>
          <cell r="K42">
            <v>0</v>
          </cell>
        </row>
        <row r="43">
          <cell r="J43">
            <v>4118.622950819672</v>
          </cell>
          <cell r="K43">
            <v>1583.0913348946135</v>
          </cell>
        </row>
        <row r="44">
          <cell r="J44">
            <v>9731.2786885245896</v>
          </cell>
          <cell r="K44">
            <v>1978.8641686182668</v>
          </cell>
        </row>
      </sheetData>
      <sheetData sheetId="8">
        <row r="3">
          <cell r="B3">
            <v>25835</v>
          </cell>
        </row>
        <row r="4">
          <cell r="B4">
            <v>19125</v>
          </cell>
        </row>
        <row r="5">
          <cell r="B5">
            <v>15020</v>
          </cell>
        </row>
        <row r="6">
          <cell r="B6">
            <v>15020</v>
          </cell>
        </row>
        <row r="7">
          <cell r="B7">
            <v>2507</v>
          </cell>
        </row>
        <row r="8">
          <cell r="B8">
            <v>18463</v>
          </cell>
        </row>
        <row r="9">
          <cell r="B9">
            <v>3000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54"/>
  <sheetViews>
    <sheetView tabSelected="1" zoomScale="80" zoomScaleNormal="80" workbookViewId="0">
      <selection activeCell="A3" sqref="A3"/>
    </sheetView>
  </sheetViews>
  <sheetFormatPr defaultRowHeight="12.75" x14ac:dyDescent="0.2"/>
  <cols>
    <col min="1" max="1" width="51.28515625" style="19" customWidth="1"/>
    <col min="2" max="2" width="16.5703125" style="20" customWidth="1"/>
    <col min="3" max="3" width="3.28515625" style="20" customWidth="1"/>
    <col min="4" max="4" width="19.5703125" style="20" bestFit="1" customWidth="1"/>
    <col min="5" max="5" width="17.5703125" style="20" customWidth="1"/>
    <col min="6" max="6" width="10.85546875" style="20" bestFit="1" customWidth="1"/>
    <col min="7" max="7" width="14.28515625" style="20" bestFit="1" customWidth="1"/>
    <col min="8" max="8" width="16.5703125" style="20" customWidth="1"/>
    <col min="9" max="10" width="15" style="20" customWidth="1"/>
    <col min="11" max="11" width="12.85546875" style="20" customWidth="1"/>
    <col min="12" max="12" width="11.42578125" style="20" customWidth="1"/>
    <col min="13" max="14" width="9.140625" style="19" customWidth="1"/>
    <col min="15" max="19" width="9.140625" style="19"/>
    <col min="20" max="21" width="10.7109375" style="19" bestFit="1" customWidth="1"/>
    <col min="22" max="16384" width="9.140625" style="19"/>
  </cols>
  <sheetData>
    <row r="1" spans="1:54" s="2" customFormat="1" ht="21" x14ac:dyDescent="0.2">
      <c r="A1" s="408" t="s">
        <v>69</v>
      </c>
      <c r="B1" s="408"/>
      <c r="C1" s="408"/>
      <c r="D1" s="408"/>
      <c r="E1" s="1"/>
      <c r="F1" s="1"/>
      <c r="G1" s="1"/>
      <c r="H1" s="1"/>
      <c r="I1" s="153"/>
      <c r="J1" s="153"/>
      <c r="K1" s="1"/>
      <c r="L1" s="1"/>
      <c r="M1" s="154"/>
      <c r="N1" s="154"/>
      <c r="O1" s="154"/>
      <c r="P1" s="154"/>
      <c r="Q1" s="154"/>
      <c r="R1" s="154"/>
      <c r="S1" s="154"/>
      <c r="T1" s="154"/>
      <c r="U1" s="154"/>
    </row>
    <row r="2" spans="1:54" s="8" customFormat="1" ht="16.5" customHeight="1" thickBot="1" x14ac:dyDescent="0.35">
      <c r="A2" s="33"/>
      <c r="B2" s="75"/>
      <c r="C2" s="75"/>
      <c r="D2" s="74"/>
      <c r="E2" s="245"/>
      <c r="F2" s="247"/>
      <c r="G2" s="245"/>
      <c r="H2" s="245"/>
      <c r="I2" s="33"/>
      <c r="J2" s="246"/>
      <c r="K2" s="34"/>
      <c r="L2" s="34"/>
      <c r="M2" s="155"/>
      <c r="N2" s="155"/>
      <c r="O2" s="155"/>
      <c r="P2" s="155"/>
      <c r="Q2" s="155"/>
      <c r="R2" s="155"/>
      <c r="S2" s="155"/>
      <c r="T2" s="155"/>
      <c r="U2" s="155"/>
    </row>
    <row r="3" spans="1:54" s="40" customFormat="1" ht="33.75" customHeight="1" thickBot="1" x14ac:dyDescent="0.35">
      <c r="A3" s="156" t="s">
        <v>0</v>
      </c>
      <c r="B3" s="242" t="s">
        <v>61</v>
      </c>
      <c r="C3" s="258"/>
      <c r="D3" s="244" t="s">
        <v>60</v>
      </c>
      <c r="E3" s="157" t="s">
        <v>6</v>
      </c>
      <c r="F3" s="236" t="s">
        <v>7</v>
      </c>
      <c r="G3" s="236" t="s">
        <v>68</v>
      </c>
      <c r="H3" s="237" t="s">
        <v>65</v>
      </c>
      <c r="I3" s="254" t="s">
        <v>1</v>
      </c>
      <c r="J3" s="158" t="s">
        <v>73</v>
      </c>
      <c r="K3" s="159" t="s">
        <v>3</v>
      </c>
      <c r="L3" s="160" t="s">
        <v>4</v>
      </c>
      <c r="M3" s="161"/>
      <c r="N3" s="161"/>
      <c r="O3" s="161"/>
      <c r="P3" s="161"/>
      <c r="Q3" s="161"/>
      <c r="R3" s="161"/>
      <c r="S3" s="161"/>
      <c r="T3" s="161"/>
      <c r="U3" s="161"/>
    </row>
    <row r="4" spans="1:54" s="3" customFormat="1" ht="21" x14ac:dyDescent="0.25">
      <c r="A4" s="162" t="s">
        <v>36</v>
      </c>
      <c r="B4" s="263"/>
      <c r="C4" s="259"/>
      <c r="D4" s="264"/>
      <c r="E4" s="265"/>
      <c r="F4" s="266"/>
      <c r="G4" s="266"/>
      <c r="H4" s="267"/>
      <c r="I4" s="265"/>
      <c r="J4" s="266"/>
      <c r="K4" s="266"/>
      <c r="L4" s="267"/>
      <c r="M4" s="163"/>
      <c r="N4" s="163"/>
      <c r="O4" s="163"/>
      <c r="P4" s="163"/>
      <c r="Q4" s="163"/>
      <c r="R4" s="163"/>
      <c r="S4" s="163"/>
      <c r="T4" s="163"/>
      <c r="U4" s="163"/>
    </row>
    <row r="5" spans="1:54" s="4" customFormat="1" ht="18.75" customHeight="1" x14ac:dyDescent="0.3">
      <c r="A5" s="164" t="s">
        <v>9</v>
      </c>
      <c r="B5" s="234">
        <v>94521.895484907931</v>
      </c>
      <c r="C5" s="260"/>
      <c r="D5" s="234">
        <v>33054</v>
      </c>
      <c r="E5" s="186">
        <v>9</v>
      </c>
      <c r="F5" s="168">
        <v>182</v>
      </c>
      <c r="G5" s="238">
        <v>1</v>
      </c>
      <c r="H5" s="239" t="s">
        <v>71</v>
      </c>
      <c r="I5" s="255">
        <v>6</v>
      </c>
      <c r="J5" s="292">
        <v>15</v>
      </c>
      <c r="K5" s="189">
        <v>0</v>
      </c>
      <c r="L5" s="240">
        <v>0</v>
      </c>
      <c r="M5" s="173"/>
      <c r="N5" s="173"/>
      <c r="O5" s="173"/>
      <c r="P5" s="174"/>
      <c r="Q5" s="174"/>
      <c r="R5" s="174"/>
      <c r="S5" s="174"/>
      <c r="T5" s="173"/>
      <c r="U5" s="173"/>
      <c r="AR5" s="6">
        <v>10</v>
      </c>
      <c r="AS5" s="6">
        <v>29</v>
      </c>
      <c r="AT5" s="6">
        <v>0</v>
      </c>
      <c r="AU5" s="6">
        <v>3</v>
      </c>
      <c r="AV5" s="6">
        <v>3.25</v>
      </c>
      <c r="AW5" s="6">
        <v>0.05</v>
      </c>
      <c r="AX5" s="6">
        <v>8</v>
      </c>
      <c r="AY5" s="6">
        <v>25</v>
      </c>
      <c r="AZ5" s="6">
        <v>50</v>
      </c>
      <c r="BA5" s="6"/>
      <c r="BB5" s="5"/>
    </row>
    <row r="6" spans="1:54" s="4" customFormat="1" ht="18.75" x14ac:dyDescent="0.3">
      <c r="A6" s="164" t="s">
        <v>11</v>
      </c>
      <c r="B6" s="234">
        <v>199607.34369955253</v>
      </c>
      <c r="C6" s="260"/>
      <c r="D6" s="234">
        <v>173389.37</v>
      </c>
      <c r="E6" s="167">
        <v>35</v>
      </c>
      <c r="F6" s="168">
        <v>448</v>
      </c>
      <c r="G6" s="226">
        <v>1</v>
      </c>
      <c r="H6" s="227">
        <v>0.375</v>
      </c>
      <c r="I6" s="191">
        <v>48</v>
      </c>
      <c r="J6" s="292">
        <v>48</v>
      </c>
      <c r="K6" s="171">
        <v>4</v>
      </c>
      <c r="L6" s="172">
        <v>3</v>
      </c>
      <c r="M6" s="173"/>
      <c r="N6" s="173"/>
      <c r="O6" s="173"/>
      <c r="P6" s="174"/>
      <c r="Q6" s="174"/>
      <c r="R6" s="174"/>
      <c r="S6" s="174"/>
      <c r="T6" s="173"/>
      <c r="U6" s="173"/>
      <c r="AR6" s="6">
        <v>41</v>
      </c>
      <c r="AS6" s="6">
        <v>52</v>
      </c>
      <c r="AT6" s="6">
        <v>6</v>
      </c>
      <c r="AU6" s="6">
        <v>5</v>
      </c>
      <c r="AV6" s="6">
        <v>2.37</v>
      </c>
      <c r="AW6" s="6">
        <v>0.124</v>
      </c>
      <c r="AX6" s="6">
        <v>33</v>
      </c>
      <c r="AY6" s="6">
        <v>395</v>
      </c>
      <c r="AZ6" s="6">
        <v>100</v>
      </c>
      <c r="BA6" s="6">
        <v>40</v>
      </c>
      <c r="BB6" s="5"/>
    </row>
    <row r="7" spans="1:54" s="4" customFormat="1" ht="18.75" x14ac:dyDescent="0.3">
      <c r="A7" s="164" t="s">
        <v>67</v>
      </c>
      <c r="B7" s="234">
        <v>39052.428571428572</v>
      </c>
      <c r="C7" s="260"/>
      <c r="D7" s="234">
        <v>347674.36</v>
      </c>
      <c r="E7" s="167">
        <v>22</v>
      </c>
      <c r="F7" s="168">
        <v>153</v>
      </c>
      <c r="G7" s="226">
        <v>1</v>
      </c>
      <c r="H7" s="227">
        <v>1</v>
      </c>
      <c r="I7" s="191">
        <v>37</v>
      </c>
      <c r="J7" s="292">
        <v>40</v>
      </c>
      <c r="K7" s="171">
        <v>23</v>
      </c>
      <c r="L7" s="172">
        <v>1</v>
      </c>
      <c r="M7" s="173"/>
      <c r="N7" s="173"/>
      <c r="O7" s="173"/>
      <c r="P7" s="174"/>
      <c r="Q7" s="174"/>
      <c r="R7" s="174"/>
      <c r="S7" s="174"/>
      <c r="T7" s="173"/>
      <c r="U7" s="173"/>
      <c r="AR7" s="6"/>
      <c r="AS7" s="6"/>
      <c r="AT7" s="6"/>
      <c r="AU7" s="6"/>
      <c r="AV7" s="6"/>
      <c r="AW7" s="6"/>
      <c r="AX7" s="6"/>
      <c r="AY7" s="6"/>
      <c r="AZ7" s="6"/>
      <c r="BA7" s="6"/>
      <c r="BB7" s="5"/>
    </row>
    <row r="8" spans="1:54" s="4" customFormat="1" ht="18.75" x14ac:dyDescent="0.3">
      <c r="A8" s="164" t="s">
        <v>41</v>
      </c>
      <c r="B8" s="234">
        <v>232851.945395302</v>
      </c>
      <c r="C8" s="260"/>
      <c r="D8" s="234">
        <v>131612</v>
      </c>
      <c r="E8" s="167">
        <v>33</v>
      </c>
      <c r="F8" s="168">
        <v>365</v>
      </c>
      <c r="G8" s="226">
        <v>1</v>
      </c>
      <c r="H8" s="227">
        <v>0.5</v>
      </c>
      <c r="I8" s="191">
        <v>22</v>
      </c>
      <c r="J8" s="292">
        <v>18</v>
      </c>
      <c r="K8" s="171">
        <v>5</v>
      </c>
      <c r="L8" s="172">
        <v>4</v>
      </c>
      <c r="M8" s="173"/>
      <c r="N8" s="173"/>
      <c r="O8" s="174"/>
      <c r="P8" s="174"/>
      <c r="Q8" s="174"/>
      <c r="R8" s="174"/>
      <c r="S8" s="174"/>
      <c r="T8" s="173"/>
      <c r="U8" s="173"/>
      <c r="AR8" s="6"/>
      <c r="AS8" s="6"/>
      <c r="AT8" s="6"/>
      <c r="AU8" s="6"/>
      <c r="AV8" s="6"/>
      <c r="AW8" s="6"/>
      <c r="AX8" s="6"/>
      <c r="AY8" s="6"/>
      <c r="AZ8" s="6"/>
      <c r="BA8" s="6"/>
      <c r="BB8" s="5"/>
    </row>
    <row r="9" spans="1:54" s="4" customFormat="1" ht="18.75" x14ac:dyDescent="0.3">
      <c r="A9" s="164" t="s">
        <v>12</v>
      </c>
      <c r="B9" s="234">
        <v>216327.00010919085</v>
      </c>
      <c r="C9" s="260"/>
      <c r="D9" s="234">
        <v>335281.87</v>
      </c>
      <c r="E9" s="167">
        <v>44</v>
      </c>
      <c r="F9" s="168">
        <v>871</v>
      </c>
      <c r="G9" s="226">
        <v>1</v>
      </c>
      <c r="H9" s="228">
        <v>0.46500000000000002</v>
      </c>
      <c r="I9" s="191">
        <v>21</v>
      </c>
      <c r="J9" s="292">
        <v>30</v>
      </c>
      <c r="K9" s="171">
        <v>7</v>
      </c>
      <c r="L9" s="172">
        <v>4</v>
      </c>
      <c r="M9" s="173"/>
      <c r="N9" s="173"/>
      <c r="O9" s="174"/>
      <c r="P9" s="174"/>
      <c r="Q9" s="174"/>
      <c r="R9" s="174"/>
      <c r="S9" s="174"/>
      <c r="T9" s="173"/>
      <c r="U9" s="173"/>
      <c r="AR9" s="6"/>
      <c r="AS9" s="6"/>
      <c r="AT9" s="6"/>
      <c r="AU9" s="6"/>
      <c r="AV9" s="6"/>
      <c r="AW9" s="6"/>
      <c r="AX9" s="6"/>
      <c r="AY9" s="6"/>
      <c r="AZ9" s="6"/>
      <c r="BA9" s="6"/>
      <c r="BB9" s="5"/>
    </row>
    <row r="10" spans="1:54" s="4" customFormat="1" ht="18.75" x14ac:dyDescent="0.3">
      <c r="A10" s="164" t="s">
        <v>13</v>
      </c>
      <c r="B10" s="234">
        <v>101085.44535694853</v>
      </c>
      <c r="C10" s="260"/>
      <c r="D10" s="234">
        <v>237681.92000000001</v>
      </c>
      <c r="E10" s="167">
        <v>6</v>
      </c>
      <c r="F10" s="168">
        <v>122</v>
      </c>
      <c r="G10" s="226" t="s">
        <v>71</v>
      </c>
      <c r="H10" s="227" t="s">
        <v>71</v>
      </c>
      <c r="I10" s="191">
        <v>38</v>
      </c>
      <c r="J10" s="292">
        <v>57</v>
      </c>
      <c r="K10" s="171">
        <v>7</v>
      </c>
      <c r="L10" s="172">
        <v>1</v>
      </c>
      <c r="M10" s="173"/>
      <c r="N10" s="173"/>
      <c r="O10" s="174"/>
      <c r="P10" s="174"/>
      <c r="Q10" s="174"/>
      <c r="R10" s="174"/>
      <c r="S10" s="174"/>
      <c r="T10" s="173"/>
      <c r="U10" s="173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5"/>
    </row>
    <row r="11" spans="1:54" s="4" customFormat="1" ht="18.75" x14ac:dyDescent="0.3">
      <c r="A11" s="164" t="s">
        <v>42</v>
      </c>
      <c r="B11" s="234">
        <v>724996.24578258046</v>
      </c>
      <c r="C11" s="260"/>
      <c r="D11" s="234">
        <v>598947.06000000006</v>
      </c>
      <c r="E11" s="167">
        <v>102</v>
      </c>
      <c r="F11" s="168">
        <v>2426</v>
      </c>
      <c r="G11" s="226">
        <v>0.93300000000000005</v>
      </c>
      <c r="H11" s="227">
        <v>0.877</v>
      </c>
      <c r="I11" s="191">
        <v>75</v>
      </c>
      <c r="J11" s="292">
        <v>70</v>
      </c>
      <c r="K11" s="171">
        <v>16</v>
      </c>
      <c r="L11" s="172">
        <v>5</v>
      </c>
      <c r="M11" s="173"/>
      <c r="N11" s="173"/>
      <c r="O11" s="174"/>
      <c r="P11" s="174"/>
      <c r="Q11" s="174"/>
      <c r="R11" s="174"/>
      <c r="S11" s="174"/>
      <c r="T11" s="173"/>
      <c r="U11" s="173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5"/>
    </row>
    <row r="12" spans="1:54" s="4" customFormat="1" ht="18.75" x14ac:dyDescent="0.3">
      <c r="A12" s="164" t="s">
        <v>14</v>
      </c>
      <c r="B12" s="234">
        <v>425639.13688867877</v>
      </c>
      <c r="C12" s="260"/>
      <c r="D12" s="234">
        <v>219302.39999999999</v>
      </c>
      <c r="E12" s="167">
        <v>35</v>
      </c>
      <c r="F12" s="168">
        <v>772</v>
      </c>
      <c r="G12" s="226">
        <v>1</v>
      </c>
      <c r="H12" s="227">
        <v>0</v>
      </c>
      <c r="I12" s="191">
        <v>39</v>
      </c>
      <c r="J12" s="292">
        <v>38</v>
      </c>
      <c r="K12" s="171">
        <v>12</v>
      </c>
      <c r="L12" s="172">
        <v>0</v>
      </c>
      <c r="M12" s="173"/>
      <c r="N12" s="173"/>
      <c r="O12" s="174"/>
      <c r="P12" s="174"/>
      <c r="Q12" s="174"/>
      <c r="R12" s="174"/>
      <c r="S12" s="174"/>
      <c r="T12" s="173"/>
      <c r="U12" s="173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5"/>
    </row>
    <row r="13" spans="1:54" s="4" customFormat="1" ht="18.75" x14ac:dyDescent="0.3">
      <c r="A13" s="164" t="s">
        <v>15</v>
      </c>
      <c r="B13" s="234">
        <v>74872.592857142852</v>
      </c>
      <c r="C13" s="260"/>
      <c r="D13" s="234">
        <v>76067</v>
      </c>
      <c r="E13" s="167">
        <v>15</v>
      </c>
      <c r="F13" s="168">
        <v>88</v>
      </c>
      <c r="G13" s="226">
        <v>1</v>
      </c>
      <c r="H13" s="227" t="s">
        <v>71</v>
      </c>
      <c r="I13" s="191">
        <v>55</v>
      </c>
      <c r="J13" s="292">
        <v>54</v>
      </c>
      <c r="K13" s="171">
        <v>2</v>
      </c>
      <c r="L13" s="172">
        <v>3</v>
      </c>
      <c r="M13" s="173"/>
      <c r="N13" s="173"/>
      <c r="O13" s="174"/>
      <c r="P13" s="174"/>
      <c r="Q13" s="174"/>
      <c r="R13" s="174"/>
      <c r="S13" s="174"/>
      <c r="T13" s="173"/>
      <c r="U13" s="173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5"/>
    </row>
    <row r="14" spans="1:54" s="4" customFormat="1" ht="18.75" x14ac:dyDescent="0.3">
      <c r="A14" s="164" t="s">
        <v>17</v>
      </c>
      <c r="B14" s="234">
        <v>369518.32413679879</v>
      </c>
      <c r="C14" s="260"/>
      <c r="D14" s="234">
        <v>328523.40000000002</v>
      </c>
      <c r="E14" s="167">
        <v>30</v>
      </c>
      <c r="F14" s="168">
        <v>415</v>
      </c>
      <c r="G14" s="226">
        <v>1</v>
      </c>
      <c r="H14" s="227">
        <v>0.66700000000000004</v>
      </c>
      <c r="I14" s="191">
        <v>17</v>
      </c>
      <c r="J14" s="292">
        <v>24</v>
      </c>
      <c r="K14" s="171">
        <v>7</v>
      </c>
      <c r="L14" s="172">
        <v>3</v>
      </c>
      <c r="M14" s="173"/>
      <c r="N14" s="173"/>
      <c r="O14" s="174"/>
      <c r="P14" s="174"/>
      <c r="Q14" s="174"/>
      <c r="R14" s="174"/>
      <c r="S14" s="174"/>
      <c r="T14" s="173"/>
      <c r="U14" s="173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5"/>
    </row>
    <row r="15" spans="1:54" s="4" customFormat="1" ht="18.75" x14ac:dyDescent="0.3">
      <c r="A15" s="164" t="s">
        <v>18</v>
      </c>
      <c r="B15" s="234">
        <v>244410.28918585938</v>
      </c>
      <c r="C15" s="260"/>
      <c r="D15" s="234">
        <v>654366.91</v>
      </c>
      <c r="E15" s="167">
        <v>43</v>
      </c>
      <c r="F15" s="168">
        <v>392</v>
      </c>
      <c r="G15" s="226">
        <v>1</v>
      </c>
      <c r="H15" s="227">
        <v>0.46500000000000002</v>
      </c>
      <c r="I15" s="191">
        <v>30</v>
      </c>
      <c r="J15" s="292">
        <v>33</v>
      </c>
      <c r="K15" s="171">
        <v>8</v>
      </c>
      <c r="L15" s="172">
        <v>2</v>
      </c>
      <c r="M15" s="173"/>
      <c r="N15" s="173"/>
      <c r="O15" s="174"/>
      <c r="P15" s="174"/>
      <c r="Q15" s="174"/>
      <c r="R15" s="174"/>
      <c r="S15" s="174"/>
      <c r="T15" s="173"/>
      <c r="U15" s="173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/>
    </row>
    <row r="16" spans="1:54" s="4" customFormat="1" ht="18.75" x14ac:dyDescent="0.3">
      <c r="A16" s="164" t="s">
        <v>59</v>
      </c>
      <c r="B16" s="234">
        <v>1314477.7003132189</v>
      </c>
      <c r="C16" s="260"/>
      <c r="D16" s="234">
        <v>553695.19999999995</v>
      </c>
      <c r="E16" s="167">
        <v>189</v>
      </c>
      <c r="F16" s="168">
        <v>583</v>
      </c>
      <c r="G16" s="226">
        <v>1</v>
      </c>
      <c r="H16" s="227">
        <v>0.59099999999999997</v>
      </c>
      <c r="I16" s="191">
        <v>38</v>
      </c>
      <c r="J16" s="292">
        <v>52</v>
      </c>
      <c r="K16" s="171">
        <v>2</v>
      </c>
      <c r="L16" s="172">
        <v>1</v>
      </c>
      <c r="M16" s="173"/>
      <c r="N16" s="173"/>
      <c r="O16" s="174"/>
      <c r="P16" s="174"/>
      <c r="Q16" s="174"/>
      <c r="R16" s="174"/>
      <c r="S16" s="174"/>
      <c r="T16" s="173"/>
      <c r="U16" s="173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5"/>
    </row>
    <row r="17" spans="1:64" s="4" customFormat="1" ht="18.75" x14ac:dyDescent="0.3">
      <c r="A17" s="164" t="s">
        <v>19</v>
      </c>
      <c r="B17" s="234">
        <v>700374.83802696317</v>
      </c>
      <c r="C17" s="260"/>
      <c r="D17" s="234">
        <v>246252</v>
      </c>
      <c r="E17" s="167">
        <v>115</v>
      </c>
      <c r="F17" s="168">
        <v>488</v>
      </c>
      <c r="G17" s="226">
        <v>1</v>
      </c>
      <c r="H17" s="227">
        <v>0.4</v>
      </c>
      <c r="I17" s="191">
        <v>47</v>
      </c>
      <c r="J17" s="292">
        <v>84</v>
      </c>
      <c r="K17" s="171">
        <v>6</v>
      </c>
      <c r="L17" s="172">
        <v>2</v>
      </c>
      <c r="M17" s="173"/>
      <c r="N17" s="173"/>
      <c r="O17" s="174"/>
      <c r="P17" s="174"/>
      <c r="Q17" s="174"/>
      <c r="R17" s="174"/>
      <c r="S17" s="174"/>
      <c r="T17" s="173"/>
      <c r="U17" s="173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5"/>
    </row>
    <row r="18" spans="1:64" s="4" customFormat="1" ht="19.5" thickBot="1" x14ac:dyDescent="0.35">
      <c r="A18" s="175" t="s">
        <v>20</v>
      </c>
      <c r="B18" s="241">
        <v>88284.875211126229</v>
      </c>
      <c r="C18" s="260"/>
      <c r="D18" s="241">
        <v>182870.69</v>
      </c>
      <c r="E18" s="177">
        <v>17</v>
      </c>
      <c r="F18" s="178">
        <v>168</v>
      </c>
      <c r="G18" s="229">
        <v>1</v>
      </c>
      <c r="H18" s="230">
        <v>0</v>
      </c>
      <c r="I18" s="195">
        <v>16</v>
      </c>
      <c r="J18" s="293">
        <v>26</v>
      </c>
      <c r="K18" s="181">
        <v>4</v>
      </c>
      <c r="L18" s="182">
        <v>3</v>
      </c>
      <c r="M18" s="173"/>
      <c r="N18" s="173"/>
      <c r="O18" s="174"/>
      <c r="P18" s="174"/>
      <c r="Q18" s="174"/>
      <c r="R18" s="174"/>
      <c r="S18" s="174"/>
      <c r="T18" s="173"/>
      <c r="U18" s="173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5"/>
    </row>
    <row r="19" spans="1:64" s="4" customFormat="1" ht="24" thickBot="1" x14ac:dyDescent="0.35">
      <c r="A19" s="283" t="s">
        <v>66</v>
      </c>
      <c r="B19" s="284">
        <f>SUM(B5:B18)</f>
        <v>4826020.0610196991</v>
      </c>
      <c r="C19" s="260"/>
      <c r="D19" s="284">
        <f>SUM(D5:D18)</f>
        <v>4118718.18</v>
      </c>
      <c r="E19" s="73">
        <f>SUM(E5:E18)</f>
        <v>695</v>
      </c>
      <c r="F19" s="286">
        <f>SUM(F5:F18)</f>
        <v>7473</v>
      </c>
      <c r="G19" s="287" t="s">
        <v>71</v>
      </c>
      <c r="H19" s="288" t="s">
        <v>71</v>
      </c>
      <c r="I19" s="289">
        <f>SUM(I5:I18)</f>
        <v>489</v>
      </c>
      <c r="J19" s="46">
        <v>532</v>
      </c>
      <c r="K19" s="290">
        <f>SUM(K5:K18)-1</f>
        <v>102</v>
      </c>
      <c r="L19" s="291">
        <f>SUM(L5:L18)-1</f>
        <v>31</v>
      </c>
      <c r="M19" s="173"/>
      <c r="N19" s="173"/>
      <c r="O19" s="174"/>
      <c r="P19" s="174"/>
      <c r="Q19" s="174"/>
      <c r="R19" s="174"/>
      <c r="S19" s="174"/>
      <c r="T19" s="173"/>
      <c r="U19" s="173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5"/>
    </row>
    <row r="20" spans="1:64" s="4" customFormat="1" ht="21" x14ac:dyDescent="0.3">
      <c r="A20" s="183" t="s">
        <v>62</v>
      </c>
      <c r="B20" s="268"/>
      <c r="C20" s="261"/>
      <c r="D20" s="268"/>
      <c r="E20" s="270"/>
      <c r="F20" s="285"/>
      <c r="G20" s="269"/>
      <c r="H20" s="271"/>
      <c r="I20" s="270"/>
      <c r="J20" s="269"/>
      <c r="K20" s="269"/>
      <c r="L20" s="271"/>
      <c r="M20" s="173"/>
      <c r="N20" s="249"/>
      <c r="O20" s="174"/>
      <c r="P20" s="174"/>
      <c r="Q20" s="174"/>
      <c r="R20" s="174"/>
      <c r="S20" s="174"/>
      <c r="T20" s="173"/>
      <c r="U20" s="173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5"/>
    </row>
    <row r="21" spans="1:64" s="4" customFormat="1" ht="18.75" customHeight="1" x14ac:dyDescent="0.3">
      <c r="A21" s="190" t="s">
        <v>21</v>
      </c>
      <c r="B21" s="234">
        <v>30793.517028138976</v>
      </c>
      <c r="C21" s="260"/>
      <c r="D21" s="234">
        <v>105064.64</v>
      </c>
      <c r="E21" s="186">
        <v>8</v>
      </c>
      <c r="F21" s="168">
        <v>38</v>
      </c>
      <c r="G21" s="238">
        <v>0.5</v>
      </c>
      <c r="H21" s="239">
        <v>0</v>
      </c>
      <c r="I21" s="255">
        <v>6</v>
      </c>
      <c r="J21" s="292">
        <v>7</v>
      </c>
      <c r="K21" s="171">
        <v>3</v>
      </c>
      <c r="L21" s="172">
        <v>0</v>
      </c>
      <c r="M21" s="173"/>
      <c r="N21" s="249"/>
      <c r="O21" s="174"/>
      <c r="P21" s="174"/>
      <c r="Q21" s="174"/>
      <c r="R21" s="174"/>
      <c r="S21" s="174"/>
      <c r="T21" s="173"/>
      <c r="U21" s="173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5"/>
    </row>
    <row r="22" spans="1:64" s="4" customFormat="1" ht="18.75" x14ac:dyDescent="0.3">
      <c r="A22" s="190" t="s">
        <v>22</v>
      </c>
      <c r="B22" s="234">
        <v>247971.72649612694</v>
      </c>
      <c r="C22" s="260"/>
      <c r="D22" s="234">
        <v>78177.679999999993</v>
      </c>
      <c r="E22" s="167">
        <v>15</v>
      </c>
      <c r="F22" s="168">
        <v>484</v>
      </c>
      <c r="G22" s="226">
        <v>1</v>
      </c>
      <c r="H22" s="227">
        <v>0.25</v>
      </c>
      <c r="I22" s="191">
        <v>19</v>
      </c>
      <c r="J22" s="292">
        <v>29</v>
      </c>
      <c r="K22" s="171">
        <v>5</v>
      </c>
      <c r="L22" s="172">
        <v>0</v>
      </c>
      <c r="M22" s="173"/>
      <c r="N22" s="173"/>
      <c r="O22" s="174"/>
      <c r="P22" s="174"/>
      <c r="Q22" s="174"/>
      <c r="R22" s="174"/>
      <c r="S22" s="174"/>
      <c r="T22" s="173"/>
      <c r="U22" s="173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5"/>
    </row>
    <row r="23" spans="1:64" s="4" customFormat="1" ht="18.75" x14ac:dyDescent="0.3">
      <c r="A23" s="190" t="s">
        <v>23</v>
      </c>
      <c r="B23" s="234">
        <v>48351.637923778435</v>
      </c>
      <c r="C23" s="260"/>
      <c r="D23" s="234">
        <v>567452.57000000007</v>
      </c>
      <c r="E23" s="167">
        <v>12</v>
      </c>
      <c r="F23" s="168">
        <v>49</v>
      </c>
      <c r="G23" s="226">
        <v>1</v>
      </c>
      <c r="H23" s="227" t="s">
        <v>71</v>
      </c>
      <c r="I23" s="191">
        <v>8</v>
      </c>
      <c r="J23" s="292">
        <v>9</v>
      </c>
      <c r="K23" s="171">
        <v>0</v>
      </c>
      <c r="L23" s="172">
        <v>0</v>
      </c>
      <c r="M23" s="173"/>
      <c r="N23" s="173"/>
      <c r="O23" s="174"/>
      <c r="P23" s="174"/>
      <c r="Q23" s="174"/>
      <c r="R23" s="174"/>
      <c r="S23" s="174"/>
      <c r="T23" s="173"/>
      <c r="U23" s="17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5"/>
    </row>
    <row r="24" spans="1:64" s="5" customFormat="1" ht="18.75" x14ac:dyDescent="0.3">
      <c r="A24" s="190" t="s">
        <v>25</v>
      </c>
      <c r="B24" s="234">
        <v>107</v>
      </c>
      <c r="C24" s="260"/>
      <c r="D24" s="234">
        <v>29443</v>
      </c>
      <c r="E24" s="191">
        <v>3</v>
      </c>
      <c r="F24" s="170">
        <v>18</v>
      </c>
      <c r="G24" s="226">
        <v>1</v>
      </c>
      <c r="H24" s="227" t="s">
        <v>71</v>
      </c>
      <c r="I24" s="191">
        <v>10</v>
      </c>
      <c r="J24" s="292">
        <v>5</v>
      </c>
      <c r="K24" s="171">
        <v>1</v>
      </c>
      <c r="L24" s="192">
        <v>0</v>
      </c>
      <c r="M24" s="174"/>
      <c r="N24" s="174"/>
      <c r="O24" s="174"/>
      <c r="P24" s="174"/>
      <c r="Q24" s="174"/>
      <c r="R24" s="174"/>
      <c r="S24" s="174"/>
      <c r="T24" s="174"/>
      <c r="U24" s="174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64" s="4" customFormat="1" ht="18.75" x14ac:dyDescent="0.3">
      <c r="A25" s="190" t="s">
        <v>26</v>
      </c>
      <c r="B25" s="234">
        <v>24634.916655920406</v>
      </c>
      <c r="C25" s="260"/>
      <c r="D25" s="234">
        <v>105355.07</v>
      </c>
      <c r="E25" s="167">
        <v>15</v>
      </c>
      <c r="F25" s="168">
        <v>48</v>
      </c>
      <c r="G25" s="226">
        <v>0</v>
      </c>
      <c r="H25" s="227">
        <v>0</v>
      </c>
      <c r="I25" s="191">
        <v>9</v>
      </c>
      <c r="J25" s="292">
        <v>22</v>
      </c>
      <c r="K25" s="171">
        <v>1</v>
      </c>
      <c r="L25" s="192">
        <v>0</v>
      </c>
      <c r="M25" s="173"/>
      <c r="N25" s="173"/>
      <c r="O25" s="174"/>
      <c r="P25" s="174"/>
      <c r="Q25" s="174"/>
      <c r="R25" s="174"/>
      <c r="S25" s="174"/>
      <c r="T25" s="173"/>
      <c r="U25" s="173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5"/>
    </row>
    <row r="26" spans="1:64" s="5" customFormat="1" ht="18.75" x14ac:dyDescent="0.3">
      <c r="A26" s="190" t="s">
        <v>27</v>
      </c>
      <c r="B26" s="234">
        <v>21330.142857142855</v>
      </c>
      <c r="C26" s="260"/>
      <c r="D26" s="234">
        <v>38711.85</v>
      </c>
      <c r="E26" s="191">
        <v>5</v>
      </c>
      <c r="F26" s="170">
        <v>19</v>
      </c>
      <c r="G26" s="226">
        <v>1</v>
      </c>
      <c r="H26" s="227" t="s">
        <v>71</v>
      </c>
      <c r="I26" s="191">
        <v>0</v>
      </c>
      <c r="J26" s="292">
        <v>0</v>
      </c>
      <c r="K26" s="171">
        <v>1</v>
      </c>
      <c r="L26" s="192">
        <v>0</v>
      </c>
      <c r="M26" s="174"/>
      <c r="N26" s="174"/>
      <c r="O26" s="248"/>
      <c r="P26" s="174"/>
      <c r="Q26" s="174"/>
      <c r="R26" s="174"/>
      <c r="S26" s="174"/>
      <c r="T26" s="174"/>
      <c r="U26" s="174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64" s="4" customFormat="1" ht="18.75" x14ac:dyDescent="0.3">
      <c r="A27" s="190" t="s">
        <v>29</v>
      </c>
      <c r="B27" s="234">
        <v>69515.160195093835</v>
      </c>
      <c r="C27" s="260"/>
      <c r="D27" s="235">
        <v>58430</v>
      </c>
      <c r="E27" s="231">
        <v>13</v>
      </c>
      <c r="F27" s="101">
        <v>194</v>
      </c>
      <c r="G27" s="232">
        <v>0.66700000000000004</v>
      </c>
      <c r="H27" s="228" t="s">
        <v>71</v>
      </c>
      <c r="I27" s="256">
        <v>16</v>
      </c>
      <c r="J27" s="292">
        <v>5</v>
      </c>
      <c r="K27" s="95">
        <v>6</v>
      </c>
      <c r="L27" s="135">
        <v>2</v>
      </c>
      <c r="M27" s="253"/>
      <c r="N27" s="173"/>
      <c r="O27" s="174"/>
      <c r="P27" s="174"/>
      <c r="Q27" s="174"/>
      <c r="R27" s="174"/>
      <c r="S27" s="174"/>
      <c r="T27" s="173"/>
      <c r="U27" s="173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5"/>
    </row>
    <row r="28" spans="1:64" s="4" customFormat="1" ht="18.75" x14ac:dyDescent="0.3">
      <c r="A28" s="190" t="s">
        <v>30</v>
      </c>
      <c r="B28" s="235">
        <v>21484.82</v>
      </c>
      <c r="C28" s="260"/>
      <c r="D28" s="234">
        <v>0</v>
      </c>
      <c r="E28" s="167">
        <v>0</v>
      </c>
      <c r="F28" s="168">
        <v>0</v>
      </c>
      <c r="G28" s="226" t="s">
        <v>71</v>
      </c>
      <c r="H28" s="227" t="s">
        <v>71</v>
      </c>
      <c r="I28" s="191">
        <v>8</v>
      </c>
      <c r="J28" s="292">
        <v>3</v>
      </c>
      <c r="K28" s="171">
        <v>1</v>
      </c>
      <c r="L28" s="192">
        <v>1</v>
      </c>
      <c r="M28" s="173"/>
      <c r="N28" s="173"/>
      <c r="O28" s="174"/>
      <c r="P28" s="174"/>
      <c r="Q28" s="174"/>
      <c r="R28" s="174"/>
      <c r="S28" s="174"/>
      <c r="T28" s="173"/>
      <c r="U28" s="173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5"/>
    </row>
    <row r="29" spans="1:64" s="5" customFormat="1" ht="18.75" x14ac:dyDescent="0.3">
      <c r="A29" s="190" t="s">
        <v>32</v>
      </c>
      <c r="B29" s="234">
        <v>0</v>
      </c>
      <c r="C29" s="260"/>
      <c r="D29" s="234">
        <v>0</v>
      </c>
      <c r="E29" s="191">
        <v>2</v>
      </c>
      <c r="F29" s="170">
        <v>0</v>
      </c>
      <c r="G29" s="226" t="s">
        <v>71</v>
      </c>
      <c r="H29" s="227" t="s">
        <v>71</v>
      </c>
      <c r="I29" s="191">
        <v>11</v>
      </c>
      <c r="J29" s="292">
        <v>0</v>
      </c>
      <c r="K29" s="171">
        <v>2</v>
      </c>
      <c r="L29" s="192">
        <v>0</v>
      </c>
      <c r="M29" s="174"/>
      <c r="N29" s="174"/>
      <c r="O29" s="174"/>
      <c r="P29" s="174"/>
      <c r="Q29" s="174"/>
      <c r="R29" s="174"/>
      <c r="S29" s="174"/>
      <c r="T29" s="174"/>
      <c r="U29" s="174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64" s="4" customFormat="1" ht="18.75" x14ac:dyDescent="0.3">
      <c r="A30" s="190" t="s">
        <v>33</v>
      </c>
      <c r="B30" s="234">
        <v>29670.596590476191</v>
      </c>
      <c r="C30" s="260"/>
      <c r="D30" s="234">
        <v>24366</v>
      </c>
      <c r="E30" s="167">
        <v>6</v>
      </c>
      <c r="F30" s="168">
        <v>27</v>
      </c>
      <c r="G30" s="226">
        <v>1</v>
      </c>
      <c r="H30" s="227" t="s">
        <v>71</v>
      </c>
      <c r="I30" s="191">
        <v>6</v>
      </c>
      <c r="J30" s="292">
        <v>0</v>
      </c>
      <c r="K30" s="171">
        <v>1</v>
      </c>
      <c r="L30" s="192">
        <v>2</v>
      </c>
      <c r="M30" s="173"/>
      <c r="N30" s="173"/>
      <c r="O30" s="174"/>
      <c r="P30" s="174"/>
      <c r="Q30" s="174"/>
      <c r="R30" s="174"/>
      <c r="S30" s="174"/>
      <c r="T30" s="173"/>
      <c r="U30" s="173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5"/>
    </row>
    <row r="31" spans="1:64" s="4" customFormat="1" ht="19.5" thickBot="1" x14ac:dyDescent="0.35">
      <c r="A31" s="194" t="s">
        <v>34</v>
      </c>
      <c r="B31" s="241">
        <v>25914.30123362357</v>
      </c>
      <c r="C31" s="260"/>
      <c r="D31" s="241">
        <v>324276.3</v>
      </c>
      <c r="E31" s="195">
        <v>12</v>
      </c>
      <c r="F31" s="180">
        <v>66</v>
      </c>
      <c r="G31" s="229" t="s">
        <v>71</v>
      </c>
      <c r="H31" s="230" t="s">
        <v>71</v>
      </c>
      <c r="I31" s="195">
        <v>12</v>
      </c>
      <c r="J31" s="293">
        <v>11</v>
      </c>
      <c r="K31" s="181">
        <v>1</v>
      </c>
      <c r="L31" s="197">
        <v>0</v>
      </c>
      <c r="M31" s="173"/>
      <c r="N31" s="173"/>
      <c r="O31" s="174"/>
      <c r="P31" s="174"/>
      <c r="Q31" s="174"/>
      <c r="R31" s="174"/>
      <c r="S31" s="174"/>
      <c r="T31" s="173"/>
      <c r="U31" s="173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5"/>
    </row>
    <row r="32" spans="1:64" s="4" customFormat="1" ht="24" thickBot="1" x14ac:dyDescent="0.35">
      <c r="A32" s="275" t="s">
        <v>72</v>
      </c>
      <c r="B32" s="276">
        <f>SUM(B21:B31)</f>
        <v>519773.81898030121</v>
      </c>
      <c r="C32" s="260"/>
      <c r="D32" s="276">
        <f>SUM(D21:D31)</f>
        <v>1331277.1100000001</v>
      </c>
      <c r="E32" s="277">
        <f>SUM(E21:E31)</f>
        <v>91</v>
      </c>
      <c r="F32" s="278">
        <f>SUM(F21:F31)</f>
        <v>943</v>
      </c>
      <c r="G32" s="279" t="s">
        <v>71</v>
      </c>
      <c r="H32" s="280" t="s">
        <v>71</v>
      </c>
      <c r="I32" s="277">
        <f>SUM(I21:I31)</f>
        <v>105</v>
      </c>
      <c r="J32" s="54">
        <v>84</v>
      </c>
      <c r="K32" s="281">
        <f>SUM(K21:K31)</f>
        <v>22</v>
      </c>
      <c r="L32" s="282">
        <f>SUM(L21:L31)</f>
        <v>5</v>
      </c>
      <c r="M32" s="173"/>
      <c r="N32" s="173"/>
      <c r="O32" s="174"/>
      <c r="P32" s="7"/>
      <c r="Q32" s="7"/>
      <c r="R32" s="7"/>
      <c r="S32" s="7"/>
      <c r="T32" s="7"/>
      <c r="U32" s="7"/>
      <c r="V32" s="7"/>
      <c r="W32" s="7"/>
      <c r="X32" s="7"/>
      <c r="Y32" s="7"/>
      <c r="Z32" s="5"/>
      <c r="AA32" s="5"/>
      <c r="AB32" s="5"/>
      <c r="AC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5"/>
    </row>
    <row r="33" spans="1:64" s="70" customFormat="1" ht="24" thickBot="1" x14ac:dyDescent="0.4">
      <c r="A33" s="213" t="s">
        <v>63</v>
      </c>
      <c r="B33" s="66">
        <f>SUM(B19,B32)</f>
        <v>5345793.88</v>
      </c>
      <c r="C33" s="262"/>
      <c r="D33" s="66">
        <f>SUM(D19,D32)</f>
        <v>5449995.29</v>
      </c>
      <c r="E33" s="68">
        <f>SUM(E19,E32)</f>
        <v>786</v>
      </c>
      <c r="F33" s="68">
        <v>8490</v>
      </c>
      <c r="G33" s="250">
        <v>0.96199999999999997</v>
      </c>
      <c r="H33" s="251">
        <v>0.48599999999999999</v>
      </c>
      <c r="I33" s="257">
        <f>SUM(I19,I32)</f>
        <v>594</v>
      </c>
      <c r="J33" s="61">
        <v>616</v>
      </c>
      <c r="K33" s="67">
        <f>(K19+K32)-1</f>
        <v>123</v>
      </c>
      <c r="L33" s="252">
        <f>(L19+L32)-1</f>
        <v>35</v>
      </c>
      <c r="M33" s="214"/>
      <c r="N33" s="214"/>
      <c r="O33" s="214"/>
      <c r="P33" s="215"/>
      <c r="Q33" s="215"/>
      <c r="R33" s="215"/>
      <c r="S33" s="215"/>
      <c r="T33" s="215"/>
      <c r="U33" s="215"/>
      <c r="V33" s="71"/>
      <c r="W33" s="71"/>
      <c r="X33" s="71"/>
      <c r="Y33" s="71"/>
      <c r="Z33" s="71"/>
      <c r="AA33" s="71"/>
      <c r="AB33" s="71"/>
      <c r="AC33" s="71"/>
      <c r="BB33" s="72"/>
      <c r="BC33" s="72"/>
      <c r="BD33" s="72"/>
      <c r="BE33" s="72"/>
      <c r="BF33" s="72"/>
      <c r="BG33" s="72"/>
      <c r="BH33" s="72"/>
      <c r="BI33" s="72"/>
      <c r="BJ33" s="72"/>
      <c r="BK33" s="72"/>
    </row>
    <row r="34" spans="1:64" s="4" customFormat="1" ht="19.5" thickBot="1" x14ac:dyDescent="0.35">
      <c r="A34" s="220"/>
      <c r="B34" s="221"/>
      <c r="C34" s="243"/>
      <c r="D34" s="221"/>
      <c r="E34" s="222"/>
      <c r="F34" s="222"/>
      <c r="G34" s="223"/>
      <c r="H34" s="224"/>
      <c r="I34" s="225"/>
      <c r="J34" s="225"/>
      <c r="K34" s="225"/>
      <c r="L34" s="225"/>
      <c r="M34" s="173"/>
      <c r="N34" s="173"/>
      <c r="O34" s="174"/>
      <c r="P34" s="7"/>
      <c r="Q34" s="7"/>
      <c r="R34" s="7"/>
      <c r="S34" s="7"/>
      <c r="T34" s="7"/>
      <c r="U34" s="7"/>
      <c r="V34" s="7"/>
      <c r="W34" s="7"/>
      <c r="X34" s="7"/>
      <c r="Y34" s="7"/>
      <c r="Z34" s="5"/>
      <c r="AA34" s="5"/>
      <c r="AB34" s="5"/>
      <c r="AC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5"/>
    </row>
    <row r="35" spans="1:64" s="4" customFormat="1" ht="21" x14ac:dyDescent="0.3">
      <c r="A35" s="198" t="s">
        <v>48</v>
      </c>
      <c r="B35" s="184"/>
      <c r="C35" s="272"/>
      <c r="D35" s="185"/>
      <c r="E35" s="199"/>
      <c r="F35" s="200"/>
      <c r="G35" s="201"/>
      <c r="H35" s="187"/>
      <c r="I35" s="188"/>
      <c r="J35" s="188"/>
      <c r="K35" s="189"/>
      <c r="L35" s="202"/>
      <c r="M35" s="173"/>
      <c r="N35" s="173"/>
      <c r="O35" s="174"/>
      <c r="P35" s="7"/>
      <c r="Q35" s="7"/>
      <c r="R35" s="7"/>
      <c r="S35" s="7"/>
      <c r="T35" s="7"/>
      <c r="U35" s="7"/>
      <c r="V35" s="7"/>
      <c r="W35" s="7"/>
      <c r="X35" s="7"/>
      <c r="Y35" s="7"/>
      <c r="Z35" s="5"/>
      <c r="AA35" s="5"/>
      <c r="AB35" s="5"/>
      <c r="AC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5"/>
    </row>
    <row r="36" spans="1:64" s="4" customFormat="1" ht="18.75" x14ac:dyDescent="0.3">
      <c r="A36" s="203" t="s">
        <v>38</v>
      </c>
      <c r="B36" s="165">
        <v>453339</v>
      </c>
      <c r="C36" s="273"/>
      <c r="D36" s="166"/>
      <c r="E36" s="204"/>
      <c r="F36" s="205"/>
      <c r="G36" s="193"/>
      <c r="H36" s="169"/>
      <c r="I36" s="170"/>
      <c r="J36" s="170"/>
      <c r="K36" s="171"/>
      <c r="L36" s="192"/>
      <c r="M36" s="173"/>
      <c r="N36" s="173"/>
      <c r="O36" s="174"/>
      <c r="P36" s="7"/>
      <c r="Q36" s="7"/>
      <c r="R36" s="7"/>
      <c r="S36" s="7"/>
      <c r="T36" s="7"/>
      <c r="U36" s="7"/>
      <c r="V36" s="7"/>
      <c r="W36" s="7"/>
      <c r="X36" s="7"/>
      <c r="Y36" s="7"/>
      <c r="Z36" s="5"/>
      <c r="AA36" s="5"/>
      <c r="AB36" s="5"/>
      <c r="AC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5"/>
    </row>
    <row r="37" spans="1:64" s="4" customFormat="1" ht="18.75" x14ac:dyDescent="0.3">
      <c r="A37" s="203" t="s">
        <v>70</v>
      </c>
      <c r="B37" s="165">
        <v>189759</v>
      </c>
      <c r="C37" s="273"/>
      <c r="D37" s="166"/>
      <c r="E37" s="204"/>
      <c r="F37" s="205"/>
      <c r="G37" s="193"/>
      <c r="H37" s="169"/>
      <c r="I37" s="170"/>
      <c r="J37" s="170"/>
      <c r="K37" s="171"/>
      <c r="L37" s="192"/>
      <c r="M37" s="173"/>
      <c r="N37" s="173"/>
      <c r="O37" s="174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  <c r="AA37" s="5"/>
      <c r="AB37" s="5"/>
      <c r="AC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5"/>
    </row>
    <row r="38" spans="1:64" s="4" customFormat="1" ht="18.75" x14ac:dyDescent="0.3">
      <c r="A38" s="203" t="s">
        <v>40</v>
      </c>
      <c r="B38" s="165">
        <v>258348</v>
      </c>
      <c r="C38" s="273"/>
      <c r="D38" s="166"/>
      <c r="E38" s="204"/>
      <c r="F38" s="205"/>
      <c r="G38" s="193"/>
      <c r="H38" s="169"/>
      <c r="I38" s="170"/>
      <c r="J38" s="170"/>
      <c r="K38" s="171"/>
      <c r="L38" s="192"/>
      <c r="M38" s="173"/>
      <c r="N38" s="173"/>
      <c r="O38" s="174"/>
      <c r="P38" s="7"/>
      <c r="Q38" s="7"/>
      <c r="R38" s="7"/>
      <c r="S38" s="7"/>
      <c r="T38" s="7"/>
      <c r="U38" s="7"/>
      <c r="V38" s="7"/>
      <c r="W38" s="7"/>
      <c r="X38" s="7"/>
      <c r="Y38" s="7"/>
      <c r="Z38" s="5"/>
      <c r="AA38" s="5"/>
      <c r="AB38" s="5"/>
      <c r="AC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5"/>
    </row>
    <row r="39" spans="1:64" s="4" customFormat="1" ht="18.75" x14ac:dyDescent="0.3">
      <c r="A39" s="203" t="s">
        <v>13</v>
      </c>
      <c r="B39" s="165">
        <v>65086</v>
      </c>
      <c r="C39" s="273"/>
      <c r="D39" s="176"/>
      <c r="E39" s="206"/>
      <c r="F39" s="207"/>
      <c r="G39" s="196"/>
      <c r="H39" s="179"/>
      <c r="I39" s="180"/>
      <c r="J39" s="180"/>
      <c r="K39" s="181"/>
      <c r="L39" s="197"/>
      <c r="M39" s="173"/>
      <c r="N39" s="173"/>
      <c r="O39" s="174"/>
      <c r="P39" s="7"/>
      <c r="Q39" s="7"/>
      <c r="R39" s="7"/>
      <c r="S39" s="7"/>
      <c r="T39" s="7"/>
      <c r="U39" s="7"/>
      <c r="V39" s="7"/>
      <c r="W39" s="7"/>
      <c r="X39" s="7"/>
      <c r="Y39" s="7"/>
      <c r="Z39" s="5"/>
      <c r="AA39" s="5"/>
      <c r="AB39" s="5"/>
      <c r="AC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5"/>
    </row>
    <row r="40" spans="1:64" s="4" customFormat="1" ht="18.75" x14ac:dyDescent="0.3">
      <c r="A40" s="203" t="s">
        <v>25</v>
      </c>
      <c r="B40" s="165">
        <v>187876</v>
      </c>
      <c r="C40" s="273"/>
      <c r="D40" s="176"/>
      <c r="E40" s="206"/>
      <c r="F40" s="207"/>
      <c r="G40" s="196"/>
      <c r="H40" s="179"/>
      <c r="I40" s="180"/>
      <c r="J40" s="180"/>
      <c r="K40" s="181"/>
      <c r="L40" s="197"/>
      <c r="M40" s="173"/>
      <c r="N40" s="173"/>
      <c r="O40" s="174"/>
      <c r="P40" s="7"/>
      <c r="Q40" s="7"/>
      <c r="R40" s="7"/>
      <c r="S40" s="7"/>
      <c r="T40" s="7"/>
      <c r="U40" s="7"/>
      <c r="V40" s="7"/>
      <c r="W40" s="7"/>
      <c r="X40" s="7"/>
      <c r="Y40" s="7"/>
      <c r="Z40" s="5"/>
      <c r="AA40" s="5"/>
      <c r="AB40" s="5"/>
      <c r="AC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5"/>
    </row>
    <row r="41" spans="1:64" s="4" customFormat="1" ht="19.5" thickBot="1" x14ac:dyDescent="0.35">
      <c r="A41" s="203" t="s">
        <v>30</v>
      </c>
      <c r="B41" s="165">
        <v>204306</v>
      </c>
      <c r="C41" s="273"/>
      <c r="D41" s="176"/>
      <c r="E41" s="206"/>
      <c r="F41" s="207"/>
      <c r="G41" s="196"/>
      <c r="H41" s="179"/>
      <c r="I41" s="180"/>
      <c r="J41" s="180"/>
      <c r="K41" s="181"/>
      <c r="L41" s="197"/>
      <c r="M41" s="173"/>
      <c r="N41" s="173"/>
      <c r="O41" s="174"/>
      <c r="P41" s="7"/>
      <c r="Q41" s="7"/>
      <c r="R41" s="7"/>
      <c r="S41" s="7"/>
      <c r="T41" s="7"/>
      <c r="U41" s="7"/>
      <c r="V41" s="7"/>
      <c r="W41" s="7"/>
      <c r="X41" s="7"/>
      <c r="Y41" s="7"/>
      <c r="Z41" s="5"/>
      <c r="AA41" s="5"/>
      <c r="AB41" s="5"/>
      <c r="AC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5"/>
    </row>
    <row r="42" spans="1:64" s="4" customFormat="1" ht="21.75" thickBot="1" x14ac:dyDescent="0.35">
      <c r="A42" s="208" t="s">
        <v>49</v>
      </c>
      <c r="B42" s="209">
        <v>1358714</v>
      </c>
      <c r="C42" s="274"/>
      <c r="D42" s="209"/>
      <c r="E42" s="80"/>
      <c r="F42" s="210"/>
      <c r="G42" s="81"/>
      <c r="H42" s="82"/>
      <c r="I42" s="211"/>
      <c r="J42" s="211"/>
      <c r="K42" s="79"/>
      <c r="L42" s="212"/>
      <c r="M42" s="173"/>
      <c r="N42" s="173"/>
      <c r="O42" s="174"/>
      <c r="P42" s="7"/>
      <c r="Q42" s="7"/>
      <c r="R42" s="7"/>
      <c r="S42" s="7"/>
      <c r="T42" s="7"/>
      <c r="U42" s="7"/>
      <c r="V42" s="7"/>
      <c r="W42" s="7"/>
      <c r="X42" s="7"/>
      <c r="Y42" s="7"/>
      <c r="Z42" s="5"/>
      <c r="AA42" s="5"/>
      <c r="AB42" s="5"/>
      <c r="AC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5"/>
    </row>
    <row r="43" spans="1:64" s="11" customFormat="1" ht="18.75" x14ac:dyDescent="0.3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16"/>
      <c r="N43" s="216"/>
      <c r="O43" s="216"/>
      <c r="P43" s="217"/>
      <c r="Q43" s="217"/>
      <c r="R43" s="217"/>
      <c r="S43" s="217"/>
      <c r="T43" s="217"/>
      <c r="U43" s="217"/>
      <c r="V43" s="12"/>
      <c r="W43" s="216"/>
      <c r="X43" s="12"/>
      <c r="Y43" s="12"/>
      <c r="Z43" s="12"/>
      <c r="AA43" s="12"/>
      <c r="AB43" s="12"/>
      <c r="AC43" s="12"/>
    </row>
    <row r="44" spans="1:64" ht="18" x14ac:dyDescent="0.25">
      <c r="A44" s="18" t="s">
        <v>64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17"/>
      <c r="R44" s="17"/>
      <c r="S44" s="17"/>
      <c r="T44" s="17"/>
      <c r="U44" s="17"/>
    </row>
    <row r="45" spans="1:64" s="17" customFormat="1" ht="18" x14ac:dyDescent="0.25">
      <c r="A45" s="233" t="s">
        <v>129</v>
      </c>
      <c r="B45" s="16"/>
      <c r="C45" s="16"/>
      <c r="D45" s="16"/>
      <c r="E45" s="16"/>
      <c r="F45" s="16"/>
      <c r="G45" s="16"/>
      <c r="H45" s="16"/>
      <c r="I45" s="16"/>
      <c r="J45" s="16"/>
      <c r="K45" s="219"/>
      <c r="L45" s="16"/>
      <c r="M45" s="16"/>
    </row>
    <row r="46" spans="1:64" ht="15.75" x14ac:dyDescent="0.25">
      <c r="A46" s="18"/>
      <c r="B46" s="16"/>
      <c r="C46" s="16"/>
      <c r="D46" s="16"/>
      <c r="E46" s="16"/>
      <c r="F46" s="218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</row>
    <row r="47" spans="1:64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</row>
    <row r="48" spans="1:64" x14ac:dyDescent="0.2">
      <c r="A48" s="17"/>
      <c r="B48" s="16"/>
      <c r="C48" s="16"/>
      <c r="D48" s="16"/>
      <c r="E48" s="16"/>
      <c r="F48" s="218"/>
      <c r="G48" s="16"/>
      <c r="H48" s="16"/>
      <c r="I48" s="16"/>
      <c r="J48" s="16"/>
      <c r="K48" s="16"/>
      <c r="L48" s="16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">
      <c r="A51" s="1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">
      <c r="D54" s="15"/>
      <c r="E54" s="15"/>
      <c r="F54" s="15"/>
      <c r="M54" s="17"/>
      <c r="N54" s="17"/>
      <c r="O54" s="17"/>
      <c r="P54" s="17"/>
      <c r="Q54" s="17"/>
      <c r="R54" s="17"/>
      <c r="S54" s="17"/>
      <c r="T54" s="17"/>
      <c r="U54" s="17"/>
    </row>
  </sheetData>
  <mergeCells count="1">
    <mergeCell ref="A1:D1"/>
  </mergeCells>
  <pageMargins left="0.7" right="0.7" top="0.75" bottom="0.75" header="0.3" footer="0.3"/>
  <pageSetup paperSize="9" scale="56" orientation="landscape" r:id="rId1"/>
  <ignoredErrors>
    <ignoredError sqref="B19 D19:F19 B32 D32:F32 I19 I32 K19:L19 K32:L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selection activeCell="A2" sqref="A2:O2"/>
    </sheetView>
  </sheetViews>
  <sheetFormatPr defaultRowHeight="18.75" x14ac:dyDescent="0.3"/>
  <cols>
    <col min="1" max="1" width="45.7109375" style="4" customWidth="1"/>
    <col min="2" max="5" width="16.5703125" style="405" customWidth="1"/>
    <col min="6" max="6" width="17.42578125" style="405" customWidth="1"/>
    <col min="7" max="7" width="16.5703125" style="405" customWidth="1"/>
    <col min="8" max="8" width="17" style="405" customWidth="1"/>
    <col min="9" max="9" width="17.28515625" style="405" customWidth="1"/>
    <col min="10" max="11" width="17.140625" style="405" customWidth="1"/>
    <col min="12" max="15" width="16.5703125" style="405" customWidth="1"/>
    <col min="16" max="16384" width="9.140625" style="4"/>
  </cols>
  <sheetData>
    <row r="1" spans="1:15" s="8" customFormat="1" ht="23.25" x14ac:dyDescent="0.35">
      <c r="A1" s="410" t="s">
        <v>74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s="8" customFormat="1" ht="24" thickBot="1" x14ac:dyDescent="0.4">
      <c r="A2" s="410" t="s">
        <v>114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</row>
    <row r="3" spans="1:15" s="8" customFormat="1" ht="19.5" thickBot="1" x14ac:dyDescent="0.35">
      <c r="A3" s="411" t="s">
        <v>0</v>
      </c>
      <c r="B3" s="413" t="s">
        <v>115</v>
      </c>
      <c r="C3" s="414"/>
      <c r="D3" s="414"/>
      <c r="E3" s="415"/>
      <c r="F3" s="416" t="s">
        <v>75</v>
      </c>
      <c r="G3" s="417"/>
      <c r="H3" s="417"/>
      <c r="I3" s="417"/>
      <c r="J3" s="417"/>
      <c r="K3" s="417"/>
      <c r="L3" s="417"/>
      <c r="M3" s="417"/>
      <c r="N3" s="417"/>
      <c r="O3" s="418"/>
    </row>
    <row r="4" spans="1:15" s="40" customFormat="1" ht="94.5" thickBot="1" x14ac:dyDescent="0.35">
      <c r="A4" s="412"/>
      <c r="B4" s="319" t="s">
        <v>116</v>
      </c>
      <c r="C4" s="320" t="s">
        <v>47</v>
      </c>
      <c r="D4" s="320" t="s">
        <v>5</v>
      </c>
      <c r="E4" s="321" t="s">
        <v>43</v>
      </c>
      <c r="F4" s="322" t="s">
        <v>117</v>
      </c>
      <c r="G4" s="323" t="s">
        <v>118</v>
      </c>
      <c r="H4" s="320" t="s">
        <v>119</v>
      </c>
      <c r="I4" s="319" t="s">
        <v>120</v>
      </c>
      <c r="J4" s="320" t="s">
        <v>121</v>
      </c>
      <c r="K4" s="320" t="s">
        <v>122</v>
      </c>
      <c r="L4" s="320" t="s">
        <v>123</v>
      </c>
      <c r="M4" s="320" t="s">
        <v>124</v>
      </c>
      <c r="N4" s="321" t="s">
        <v>125</v>
      </c>
      <c r="O4" s="324" t="s">
        <v>76</v>
      </c>
    </row>
    <row r="5" spans="1:15" s="40" customFormat="1" x14ac:dyDescent="0.3">
      <c r="A5" s="325" t="s">
        <v>36</v>
      </c>
      <c r="B5" s="326"/>
      <c r="C5" s="327"/>
      <c r="D5" s="328"/>
      <c r="E5" s="329"/>
      <c r="F5" s="330"/>
      <c r="G5" s="331"/>
      <c r="H5" s="332"/>
      <c r="I5" s="333"/>
      <c r="J5" s="332"/>
      <c r="K5" s="332"/>
      <c r="L5" s="332"/>
      <c r="M5" s="332"/>
      <c r="N5" s="334"/>
      <c r="O5" s="335"/>
    </row>
    <row r="6" spans="1:15" x14ac:dyDescent="0.3">
      <c r="A6" s="336" t="s">
        <v>9</v>
      </c>
      <c r="B6" s="337">
        <v>31230</v>
      </c>
      <c r="C6" s="338">
        <v>1824</v>
      </c>
      <c r="D6" s="339">
        <v>0</v>
      </c>
      <c r="E6" s="340">
        <f>SUM(B6:D6)</f>
        <v>33054</v>
      </c>
      <c r="F6" s="341">
        <f>'[1]RM&amp;G Corp &amp; Ohead Apportionment'!J17+'[1]LABS Apportionment'!D93+'[1]Pharmacy Apportionment'!M5</f>
        <v>16201.178431255052</v>
      </c>
      <c r="G6" s="342">
        <v>9600</v>
      </c>
      <c r="H6" s="343">
        <v>0</v>
      </c>
      <c r="I6" s="344">
        <f>'[1]CRF CCTC apportionment'!C15</f>
        <v>0</v>
      </c>
      <c r="J6" s="343">
        <f>'[1]CRF CCTC apportionment'!E15</f>
        <v>19985.809312638579</v>
      </c>
      <c r="K6" s="343">
        <v>26597</v>
      </c>
      <c r="L6" s="343">
        <f>[1]RCF!B8+'[1]RM&amp;G Corp &amp; Ohead Apportionment'!K17+'[1]CRF CCTC apportionment'!G15</f>
        <v>22137.9077410143</v>
      </c>
      <c r="M6" s="343">
        <v>0</v>
      </c>
      <c r="N6" s="345">
        <f t="shared" ref="N6:N21" si="0">SUM(F6:M6)</f>
        <v>94521.895484907931</v>
      </c>
      <c r="O6" s="346">
        <f t="shared" ref="O6:O21" si="1">E6+N6</f>
        <v>127575.89548490793</v>
      </c>
    </row>
    <row r="7" spans="1:15" x14ac:dyDescent="0.3">
      <c r="A7" s="336" t="s">
        <v>11</v>
      </c>
      <c r="B7" s="337">
        <v>72944.160000000003</v>
      </c>
      <c r="C7" s="339">
        <v>86575.21</v>
      </c>
      <c r="D7" s="339">
        <v>13870</v>
      </c>
      <c r="E7" s="340">
        <f t="shared" ref="E7:E21" si="2">SUM(B7:D7)</f>
        <v>173389.37</v>
      </c>
      <c r="F7" s="341">
        <f>'[1]RM&amp;G Corp &amp; Ohead Apportionment'!J18+'[1]LABS Apportionment'!D94+'[1]Pharmacy Apportionment'!M7</f>
        <v>36002.930542531205</v>
      </c>
      <c r="G7" s="342">
        <v>9600</v>
      </c>
      <c r="H7" s="343">
        <f>'[1]CRF CCTC apportionment'!C9</f>
        <v>26557.11231884058</v>
      </c>
      <c r="I7" s="344">
        <f>'[1]CRF CCTC apportionment'!C16</f>
        <v>45748.770833333336</v>
      </c>
      <c r="J7" s="343">
        <f>'[1]CRF CCTC apportionment'!E16</f>
        <v>31177.862527716185</v>
      </c>
      <c r="K7" s="343">
        <v>35641</v>
      </c>
      <c r="L7" s="343">
        <f>'[1]RM&amp;G Corp &amp; Ohead Apportionment'!K18+'[1]CRF CCTC apportionment'!G16</f>
        <v>13614.057477131248</v>
      </c>
      <c r="M7" s="343">
        <f>1265.61</f>
        <v>1265.6099999999999</v>
      </c>
      <c r="N7" s="345">
        <f t="shared" si="0"/>
        <v>199607.34369955253</v>
      </c>
      <c r="O7" s="346">
        <f t="shared" si="1"/>
        <v>372996.71369955252</v>
      </c>
    </row>
    <row r="8" spans="1:15" x14ac:dyDescent="0.3">
      <c r="A8" s="336" t="s">
        <v>41</v>
      </c>
      <c r="B8" s="337">
        <v>119579</v>
      </c>
      <c r="C8" s="339">
        <v>12033</v>
      </c>
      <c r="D8" s="339">
        <v>0</v>
      </c>
      <c r="E8" s="340">
        <f t="shared" si="2"/>
        <v>131612</v>
      </c>
      <c r="F8" s="341">
        <f>'[1]RM&amp;G Corp &amp; Ohead Apportionment'!J19+'[1]LABS Apportionment'!D95+'[1]Pharmacy Apportionment'!M13+'[1]Pharmacy Apportionment'!M23</f>
        <v>23445.489275603963</v>
      </c>
      <c r="G8" s="342">
        <v>9600</v>
      </c>
      <c r="H8" s="343">
        <v>0</v>
      </c>
      <c r="I8" s="344">
        <f>'[1]CRF CCTC apportionment'!C17</f>
        <v>41589.791666666664</v>
      </c>
      <c r="J8" s="343">
        <f>'[1]CRF CCTC apportionment'!E17</f>
        <v>59157.995565410194</v>
      </c>
      <c r="K8" s="343">
        <v>76312</v>
      </c>
      <c r="L8" s="343">
        <f>'[1]RM&amp;G Corp &amp; Ohead Apportionment'!K19+'[1]CRF CCTC apportionment'!G17</f>
        <v>8663.3588876211816</v>
      </c>
      <c r="M8" s="343">
        <v>14083.31</v>
      </c>
      <c r="N8" s="345">
        <f t="shared" si="0"/>
        <v>232851.945395302</v>
      </c>
      <c r="O8" s="346">
        <f t="shared" si="1"/>
        <v>364463.94539530203</v>
      </c>
    </row>
    <row r="9" spans="1:15" x14ac:dyDescent="0.3">
      <c r="A9" s="336" t="s">
        <v>12</v>
      </c>
      <c r="B9" s="337">
        <v>180013.72</v>
      </c>
      <c r="C9" s="339">
        <v>117985.15</v>
      </c>
      <c r="D9" s="339">
        <v>37283</v>
      </c>
      <c r="E9" s="340">
        <f t="shared" si="2"/>
        <v>335281.87</v>
      </c>
      <c r="F9" s="341">
        <f>'[1]RM&amp;G Corp &amp; Ohead Apportionment'!J20+'[1]LABS Apportionment'!D96+'[1]Pharmacy Apportionment'!M15</f>
        <v>26432.432166591574</v>
      </c>
      <c r="G9" s="342">
        <v>9600</v>
      </c>
      <c r="H9" s="343">
        <v>0</v>
      </c>
      <c r="I9" s="344">
        <f>'[1]CRF CCTC apportionment'!C18</f>
        <v>0</v>
      </c>
      <c r="J9" s="343">
        <f>'[1]CRF CCTC apportionment'!E18</f>
        <v>19186.376940133036</v>
      </c>
      <c r="K9" s="343">
        <v>125551</v>
      </c>
      <c r="L9" s="343">
        <f>'[1]RM&amp;G Corp &amp; Ohead Apportionment'!K20+'[1]CRF CCTC apportionment'!G18+'[1]CRF CCTC apportionment'!K18</f>
        <v>20556.411002466211</v>
      </c>
      <c r="M9" s="343">
        <v>15000.78</v>
      </c>
      <c r="N9" s="345">
        <f t="shared" si="0"/>
        <v>216327.00010919085</v>
      </c>
      <c r="O9" s="346">
        <f t="shared" si="1"/>
        <v>551608.87010919082</v>
      </c>
    </row>
    <row r="10" spans="1:15" x14ac:dyDescent="0.3">
      <c r="A10" s="336" t="s">
        <v>13</v>
      </c>
      <c r="B10" s="337">
        <v>156076.42000000001</v>
      </c>
      <c r="C10" s="339">
        <v>0</v>
      </c>
      <c r="D10" s="339">
        <v>81605.5</v>
      </c>
      <c r="E10" s="340">
        <f t="shared" si="2"/>
        <v>237681.92000000001</v>
      </c>
      <c r="F10" s="341">
        <f>'[1]RM&amp;G Corp &amp; Ohead Apportionment'!J21</f>
        <v>5148.2786885245905</v>
      </c>
      <c r="G10" s="342">
        <v>9600</v>
      </c>
      <c r="H10" s="343">
        <f>'[1]CRF CCTC apportionment'!C6</f>
        <v>44727.768115942032</v>
      </c>
      <c r="I10" s="344">
        <f>'[1]CRF CCTC apportionment'!B19</f>
        <v>0</v>
      </c>
      <c r="J10" s="343">
        <f>'[1]CRF CCTC apportionment'!E19</f>
        <v>19985.809312638579</v>
      </c>
      <c r="K10" s="343">
        <v>19136</v>
      </c>
      <c r="L10" s="343">
        <f>'[1]RM&amp;G Corp &amp; Ohead Apportionment'!K21+'[1]CRF CCTC apportionment'!G19</f>
        <v>2487.589239843338</v>
      </c>
      <c r="M10" s="343">
        <v>0</v>
      </c>
      <c r="N10" s="345">
        <f t="shared" si="0"/>
        <v>101085.44535694853</v>
      </c>
      <c r="O10" s="346">
        <f t="shared" si="1"/>
        <v>338767.36535694858</v>
      </c>
    </row>
    <row r="11" spans="1:15" x14ac:dyDescent="0.3">
      <c r="A11" s="336" t="s">
        <v>42</v>
      </c>
      <c r="B11" s="337">
        <v>75076.179999999993</v>
      </c>
      <c r="C11" s="339">
        <v>494342.88</v>
      </c>
      <c r="D11" s="339">
        <f>15450+14078</f>
        <v>29528</v>
      </c>
      <c r="E11" s="340">
        <f t="shared" si="2"/>
        <v>598947.06000000006</v>
      </c>
      <c r="F11" s="341">
        <f>'[1]RM&amp;G Corp &amp; Ohead Apportionment'!J22+'[1]MIMPS Apportionment'!P4+'[1]LABS Apportionment'!D98+'[1]Pharmacy Apportionment'!M16</f>
        <v>75323.992042158017</v>
      </c>
      <c r="G11" s="342">
        <v>9600</v>
      </c>
      <c r="H11" s="343">
        <v>0</v>
      </c>
      <c r="I11" s="344">
        <f>'[1]CRF CCTC apportionment'!C20</f>
        <v>60305.197916666664</v>
      </c>
      <c r="J11" s="343">
        <f>'[1]CRF CCTC apportionment'!E20</f>
        <v>155889.31263858092</v>
      </c>
      <c r="K11" s="343">
        <v>365873</v>
      </c>
      <c r="L11" s="343">
        <f>[1]RCF!B7+'[1]RM&amp;G Corp &amp; Ohead Apportionment'!K22+'[1]CRF CCTC apportionment'!G20+'[1]CRF CCTC apportionment'!K20</f>
        <v>43004.743185174942</v>
      </c>
      <c r="M11" s="343">
        <f>20000/12*9</f>
        <v>15000</v>
      </c>
      <c r="N11" s="345">
        <f t="shared" si="0"/>
        <v>724996.24578258046</v>
      </c>
      <c r="O11" s="346">
        <f t="shared" si="1"/>
        <v>1323943.3057825805</v>
      </c>
    </row>
    <row r="12" spans="1:15" x14ac:dyDescent="0.3">
      <c r="A12" s="336" t="s">
        <v>14</v>
      </c>
      <c r="B12" s="337">
        <v>156892.4</v>
      </c>
      <c r="C12" s="339">
        <v>10361</v>
      </c>
      <c r="D12" s="339">
        <v>52049</v>
      </c>
      <c r="E12" s="340">
        <f t="shared" si="2"/>
        <v>219302.39999999999</v>
      </c>
      <c r="F12" s="341">
        <f>'[1]RM&amp;G Corp &amp; Ohead Apportionment'!J23+'[1]LABS Apportionment'!D99+'[1]Pharmacy Apportionment'!M17</f>
        <v>34840.966822974864</v>
      </c>
      <c r="G12" s="342">
        <v>9600</v>
      </c>
      <c r="H12" s="343">
        <v>0</v>
      </c>
      <c r="I12" s="344">
        <f>'[1]CRF CCTC apportionment'!C27</f>
        <v>250925.07638888891</v>
      </c>
      <c r="J12" s="343">
        <f>'[1]CRF CCTC apportionment'!E27</f>
        <v>0</v>
      </c>
      <c r="K12" s="343">
        <v>119983</v>
      </c>
      <c r="L12" s="343">
        <f>'[1]RM&amp;G Corp &amp; Ohead Apportionment'!K23+'[1]CRF CCTC apportionment'!G27</f>
        <v>10290.093676814988</v>
      </c>
      <c r="M12" s="343">
        <v>0</v>
      </c>
      <c r="N12" s="345">
        <f t="shared" si="0"/>
        <v>425639.13688867877</v>
      </c>
      <c r="O12" s="346">
        <f t="shared" si="1"/>
        <v>644941.53688867879</v>
      </c>
    </row>
    <row r="13" spans="1:15" x14ac:dyDescent="0.3">
      <c r="A13" s="336" t="s">
        <v>77</v>
      </c>
      <c r="B13" s="337">
        <v>76067</v>
      </c>
      <c r="C13" s="339">
        <v>0</v>
      </c>
      <c r="D13" s="339">
        <v>0</v>
      </c>
      <c r="E13" s="340">
        <f t="shared" si="2"/>
        <v>76067</v>
      </c>
      <c r="F13" s="341">
        <f>'[1]RM&amp;G Corp &amp; Ohead Apportionment'!J24</f>
        <v>5148.2786885245905</v>
      </c>
      <c r="G13" s="342">
        <v>9600</v>
      </c>
      <c r="H13" s="343">
        <v>0</v>
      </c>
      <c r="I13" s="344">
        <v>0</v>
      </c>
      <c r="J13" s="343">
        <v>0</v>
      </c>
      <c r="K13" s="343">
        <v>49515</v>
      </c>
      <c r="L13" s="343">
        <f>'[1]RM&amp;G Corp &amp; Ohead Apportionment'!K24</f>
        <v>1978.8641686182668</v>
      </c>
      <c r="M13" s="343">
        <v>8630.4500000000007</v>
      </c>
      <c r="N13" s="345">
        <f t="shared" si="0"/>
        <v>74872.592857142852</v>
      </c>
      <c r="O13" s="346">
        <f t="shared" si="1"/>
        <v>150939.59285714285</v>
      </c>
    </row>
    <row r="14" spans="1:15" x14ac:dyDescent="0.3">
      <c r="A14" s="347" t="s">
        <v>16</v>
      </c>
      <c r="B14" s="348">
        <v>326491.36</v>
      </c>
      <c r="C14" s="349">
        <v>0</v>
      </c>
      <c r="D14" s="349">
        <v>0</v>
      </c>
      <c r="E14" s="350">
        <f t="shared" si="2"/>
        <v>326491.36</v>
      </c>
      <c r="F14" s="351">
        <f>'[1]RM&amp;G Corp &amp; Ohead Apportionment'!J25</f>
        <v>8586.2786885245896</v>
      </c>
      <c r="G14" s="352">
        <v>9600</v>
      </c>
      <c r="H14" s="353">
        <v>0</v>
      </c>
      <c r="I14" s="354">
        <v>0</v>
      </c>
      <c r="J14" s="353">
        <v>0</v>
      </c>
      <c r="K14" s="353">
        <v>3064</v>
      </c>
      <c r="L14" s="353">
        <f>'[1]RM&amp;G Corp &amp; Ohead Apportionment'!K25</f>
        <v>1978.8641686182668</v>
      </c>
      <c r="M14" s="353">
        <v>0</v>
      </c>
      <c r="N14" s="355">
        <f t="shared" si="0"/>
        <v>23229.142857142855</v>
      </c>
      <c r="O14" s="356">
        <f t="shared" si="1"/>
        <v>349720.50285714283</v>
      </c>
    </row>
    <row r="15" spans="1:15" x14ac:dyDescent="0.3">
      <c r="A15" s="357" t="s">
        <v>24</v>
      </c>
      <c r="B15" s="348">
        <v>21183</v>
      </c>
      <c r="C15" s="349">
        <v>0</v>
      </c>
      <c r="D15" s="349">
        <v>0</v>
      </c>
      <c r="E15" s="350">
        <f>SUM(B15:D15)</f>
        <v>21183</v>
      </c>
      <c r="F15" s="351">
        <f>'[1]RM&amp;G Corp &amp; Ohead Apportionment'!J35</f>
        <v>3205.3114754098365</v>
      </c>
      <c r="G15" s="349">
        <v>0</v>
      </c>
      <c r="H15" s="353">
        <v>0</v>
      </c>
      <c r="I15" s="353">
        <v>0</v>
      </c>
      <c r="J15" s="353">
        <v>0</v>
      </c>
      <c r="K15" s="353">
        <v>7507</v>
      </c>
      <c r="L15" s="353">
        <f>'[1]RM&amp;G Corp &amp; Ohead Apportionment'!K35</f>
        <v>791.54566744730676</v>
      </c>
      <c r="M15" s="353">
        <v>0</v>
      </c>
      <c r="N15" s="355">
        <f t="shared" si="0"/>
        <v>11503.857142857143</v>
      </c>
      <c r="O15" s="356">
        <f t="shared" si="1"/>
        <v>32686.857142857145</v>
      </c>
    </row>
    <row r="16" spans="1:15" x14ac:dyDescent="0.3">
      <c r="A16" s="357" t="s">
        <v>31</v>
      </c>
      <c r="B16" s="348">
        <v>0</v>
      </c>
      <c r="C16" s="349">
        <v>0</v>
      </c>
      <c r="D16" s="349">
        <v>0</v>
      </c>
      <c r="E16" s="350">
        <f>SUM(B16:D16)</f>
        <v>0</v>
      </c>
      <c r="F16" s="351">
        <f>'[1]RM&amp;G Corp &amp; Ohead Apportionment'!J36</f>
        <v>1029.655737704918</v>
      </c>
      <c r="G16" s="349">
        <v>0</v>
      </c>
      <c r="H16" s="353">
        <v>0</v>
      </c>
      <c r="I16" s="353">
        <v>0</v>
      </c>
      <c r="J16" s="353">
        <v>0</v>
      </c>
      <c r="K16" s="353">
        <v>2894</v>
      </c>
      <c r="L16" s="353">
        <f>'[1]RM&amp;G Corp &amp; Ohead Apportionment'!K36</f>
        <v>395.77283372365338</v>
      </c>
      <c r="M16" s="353">
        <v>0</v>
      </c>
      <c r="N16" s="355">
        <f t="shared" si="0"/>
        <v>4319.4285714285716</v>
      </c>
      <c r="O16" s="356">
        <f t="shared" si="1"/>
        <v>4319.4285714285716</v>
      </c>
    </row>
    <row r="17" spans="1:15" x14ac:dyDescent="0.3">
      <c r="A17" s="336" t="s">
        <v>17</v>
      </c>
      <c r="B17" s="337">
        <v>261257.45</v>
      </c>
      <c r="C17" s="339">
        <v>45663.95</v>
      </c>
      <c r="D17" s="339">
        <v>21602</v>
      </c>
      <c r="E17" s="340">
        <f t="shared" si="2"/>
        <v>328523.40000000002</v>
      </c>
      <c r="F17" s="341">
        <f>'[1]RM&amp;G Corp &amp; Ohead Apportionment'!J26+'[1]MIMPS Apportionment'!P5+'[1]LABS Apportionment'!D102+'[1]Pharmacy Apportionment'!M9</f>
        <v>52669.762494764698</v>
      </c>
      <c r="G17" s="342">
        <v>9600</v>
      </c>
      <c r="H17" s="343">
        <v>0</v>
      </c>
      <c r="I17" s="344">
        <f>'[1]CRF CCTC apportionment'!C28</f>
        <v>51294.076388888891</v>
      </c>
      <c r="J17" s="343">
        <f>'[1]CRF CCTC apportionment'!E28</f>
        <v>164683.0687361419</v>
      </c>
      <c r="K17" s="343">
        <v>58672</v>
      </c>
      <c r="L17" s="343">
        <f>'[1]RM&amp;G Corp &amp; Ohead Apportionment'!K26+'[1]CRF CCTC apportionment'!G28+'[1]CRF CCTC apportionment'!K28</f>
        <v>17599.416517003319</v>
      </c>
      <c r="M17" s="343">
        <v>15000</v>
      </c>
      <c r="N17" s="345">
        <f t="shared" si="0"/>
        <v>369518.32413679879</v>
      </c>
      <c r="O17" s="346">
        <f t="shared" si="1"/>
        <v>698041.72413679888</v>
      </c>
    </row>
    <row r="18" spans="1:15" x14ac:dyDescent="0.3">
      <c r="A18" s="336" t="s">
        <v>18</v>
      </c>
      <c r="B18" s="337">
        <v>577995.57999999996</v>
      </c>
      <c r="C18" s="339">
        <v>62591.68</v>
      </c>
      <c r="D18" s="358">
        <v>13779.65</v>
      </c>
      <c r="E18" s="340">
        <f t="shared" si="2"/>
        <v>654366.91</v>
      </c>
      <c r="F18" s="341">
        <f>'[1]RM&amp;G Corp &amp; Ohead Apportionment'!J27+'[1]LABS Apportionment'!D103+'[1]Pharmacy Apportionment'!M10+'[1]Pharmacy Apportionment'!M19</f>
        <v>46579.76574859643</v>
      </c>
      <c r="G18" s="342">
        <v>9600</v>
      </c>
      <c r="H18" s="343">
        <v>0</v>
      </c>
      <c r="I18" s="344">
        <f>'[1]CRF CCTC apportionment'!C29</f>
        <v>40896.628472222226</v>
      </c>
      <c r="J18" s="343">
        <f>'[1]CRF CCTC apportionment'!E29</f>
        <v>84739.83148558758</v>
      </c>
      <c r="K18" s="343">
        <v>34279</v>
      </c>
      <c r="L18" s="343">
        <f>'[1]RM&amp;G Corp &amp; Ohead Apportionment'!K27+'[1]CRF CCTC apportionment'!G29</f>
        <v>12856.133479453152</v>
      </c>
      <c r="M18" s="359">
        <v>15458.93</v>
      </c>
      <c r="N18" s="345">
        <f t="shared" si="0"/>
        <v>244410.28918585938</v>
      </c>
      <c r="O18" s="346">
        <f t="shared" si="1"/>
        <v>898777.19918585941</v>
      </c>
    </row>
    <row r="19" spans="1:15" x14ac:dyDescent="0.3">
      <c r="A19" s="336" t="s">
        <v>59</v>
      </c>
      <c r="B19" s="337">
        <v>134281.41</v>
      </c>
      <c r="C19" s="339">
        <v>374537.79</v>
      </c>
      <c r="D19" s="339">
        <v>44876</v>
      </c>
      <c r="E19" s="340">
        <f t="shared" si="2"/>
        <v>553695.19999999995</v>
      </c>
      <c r="F19" s="341">
        <f>'[1]RM&amp;G Corp &amp; Ohead Apportionment'!J28+'[1]MIMPS Apportionment'!P6+'[1]LABS Apportionment'!D104+'[1]Pharmacy Apportionment'!M20</f>
        <v>414376.33275056916</v>
      </c>
      <c r="G19" s="342">
        <v>9600</v>
      </c>
      <c r="H19" s="343">
        <f>'[1]CRF CCTC apportionment'!C4</f>
        <v>726826.23188405798</v>
      </c>
      <c r="I19" s="344">
        <f>'[1]CRF CCTC apportionment'!C30</f>
        <v>32578.670138888891</v>
      </c>
      <c r="J19" s="343">
        <f>'[1]CRF CCTC apportionment'!E30</f>
        <v>799.43237250554319</v>
      </c>
      <c r="K19" s="343">
        <v>98450</v>
      </c>
      <c r="L19" s="343">
        <f>'[1]RM&amp;G Corp &amp; Ohead Apportionment'!K28+'[1]CRF CCTC apportionment'!G30</f>
        <v>31847.033167197103</v>
      </c>
      <c r="M19" s="343">
        <v>0</v>
      </c>
      <c r="N19" s="345">
        <f t="shared" si="0"/>
        <v>1314477.7003132189</v>
      </c>
      <c r="O19" s="346">
        <f t="shared" si="1"/>
        <v>1868172.9003132188</v>
      </c>
    </row>
    <row r="20" spans="1:15" x14ac:dyDescent="0.3">
      <c r="A20" s="336" t="s">
        <v>19</v>
      </c>
      <c r="B20" s="337">
        <v>43195</v>
      </c>
      <c r="C20" s="339">
        <f>117535-12033</f>
        <v>105502</v>
      </c>
      <c r="D20" s="339">
        <v>97555</v>
      </c>
      <c r="E20" s="340">
        <f t="shared" si="2"/>
        <v>246252</v>
      </c>
      <c r="F20" s="341">
        <f>'[1]RM&amp;G Corp &amp; Ohead Apportionment'!J29+'[1]RM&amp;G Corp &amp; Ohead Apportionment'!J30+'[1]MIMPS Apportionment'!P7+'[1]LABS Apportionment'!D106+'[1]Pharmacy Apportionment'!M22</f>
        <v>150735.77005518525</v>
      </c>
      <c r="G20" s="342">
        <v>9600</v>
      </c>
      <c r="H20" s="343">
        <f>'[1]CRF CCTC apportionment'!C7</f>
        <v>153751.70289855072</v>
      </c>
      <c r="I20" s="344">
        <f>'[1]CRF CCTC apportionment'!C24+'[1]CRF CCTC apportionment'!C25</f>
        <v>75554.788194444438</v>
      </c>
      <c r="J20" s="343">
        <f>'[1]CRF CCTC apportionment'!E24+'[1]CRF CCTC apportionment'!E25</f>
        <v>79943.237250554332</v>
      </c>
      <c r="K20" s="343">
        <v>76682</v>
      </c>
      <c r="L20" s="343">
        <f>[1]RCF!B3+[1]RCF!B4+[1]RCF!B5+[1]RCF!B6+[1]RCF!B9+'[1]RM&amp;G Corp &amp; Ohead Apportionment'!K29+'[1]RM&amp;G Corp &amp; Ohead Apportionment'!K30+'[1]CRF CCTC apportionment'!G24+'[1]CRF CCTC apportionment'!G25+'[1]CRF CCTC apportionment'!K24</f>
        <v>146607.35962822847</v>
      </c>
      <c r="M20" s="343">
        <v>7499.98</v>
      </c>
      <c r="N20" s="345">
        <f t="shared" si="0"/>
        <v>700374.83802696317</v>
      </c>
      <c r="O20" s="346">
        <f t="shared" si="1"/>
        <v>946626.83802696317</v>
      </c>
    </row>
    <row r="21" spans="1:15" ht="19.5" thickBot="1" x14ac:dyDescent="0.35">
      <c r="A21" s="360" t="s">
        <v>20</v>
      </c>
      <c r="B21" s="361">
        <v>160595.64000000001</v>
      </c>
      <c r="C21" s="362">
        <v>21399.05</v>
      </c>
      <c r="D21" s="362">
        <v>876</v>
      </c>
      <c r="E21" s="363">
        <f t="shared" si="2"/>
        <v>182870.69</v>
      </c>
      <c r="F21" s="364">
        <f>'[1]RM&amp;G Corp &amp; Ohead Apportionment'!J31+'[1]MIMPS Apportionment'!P8+'[1]LABS Apportionment'!D107+'[1]Pharmacy Apportionment'!M21</f>
        <v>25379.140120591466</v>
      </c>
      <c r="G21" s="342">
        <v>9600</v>
      </c>
      <c r="H21" s="365">
        <v>0</v>
      </c>
      <c r="I21" s="366">
        <f>'[1]CRF CCTC apportionment'!C31</f>
        <v>0</v>
      </c>
      <c r="J21" s="365">
        <f>'[1]CRF CCTC apportionment'!E31</f>
        <v>4796.5942350332589</v>
      </c>
      <c r="K21" s="343">
        <v>43242</v>
      </c>
      <c r="L21" s="365">
        <f>'[1]RM&amp;G Corp &amp; Ohead Apportionment'!K31+'[1]CRF CCTC apportionment'!G31</f>
        <v>5267.1408555015114</v>
      </c>
      <c r="M21" s="365">
        <v>0</v>
      </c>
      <c r="N21" s="367">
        <f t="shared" si="0"/>
        <v>88284.875211126229</v>
      </c>
      <c r="O21" s="368">
        <f t="shared" si="1"/>
        <v>271155.56521112623</v>
      </c>
    </row>
    <row r="22" spans="1:15" ht="19.5" thickBot="1" x14ac:dyDescent="0.35">
      <c r="A22" s="369" t="s">
        <v>78</v>
      </c>
      <c r="B22" s="370">
        <f t="shared" ref="B22:E22" si="3">SUM(B6:B21)</f>
        <v>2392878.3200000003</v>
      </c>
      <c r="C22" s="371">
        <f>SUM(C7:C21)</f>
        <v>1330991.71</v>
      </c>
      <c r="D22" s="371">
        <f t="shared" si="3"/>
        <v>393024.15</v>
      </c>
      <c r="E22" s="372">
        <f t="shared" si="3"/>
        <v>4118718.18</v>
      </c>
      <c r="F22" s="373">
        <f t="shared" ref="F22:M22" si="4">SUM(F6:F21)</f>
        <v>925105.56372951018</v>
      </c>
      <c r="G22" s="374">
        <f t="shared" si="4"/>
        <v>134400</v>
      </c>
      <c r="H22" s="375">
        <f>SUM(H6:H21)</f>
        <v>951862.81521739135</v>
      </c>
      <c r="I22" s="376">
        <f t="shared" si="4"/>
        <v>598893</v>
      </c>
      <c r="J22" s="375">
        <f t="shared" si="4"/>
        <v>640345.33037694008</v>
      </c>
      <c r="K22" s="375">
        <f>SUM(K6:K21)</f>
        <v>1143398</v>
      </c>
      <c r="L22" s="375">
        <f t="shared" si="4"/>
        <v>340076.2916958573</v>
      </c>
      <c r="M22" s="375">
        <f t="shared" si="4"/>
        <v>91939.059999999983</v>
      </c>
      <c r="N22" s="377">
        <f>SUM(N6:N21)</f>
        <v>4826020.0610196991</v>
      </c>
      <c r="O22" s="378">
        <f>SUM(O6:O21)</f>
        <v>8944738.2410196997</v>
      </c>
    </row>
    <row r="23" spans="1:15" x14ac:dyDescent="0.3">
      <c r="A23" s="379" t="s">
        <v>37</v>
      </c>
      <c r="B23" s="380"/>
      <c r="C23" s="381"/>
      <c r="D23" s="381"/>
      <c r="E23" s="382"/>
      <c r="F23" s="383"/>
      <c r="G23" s="384"/>
      <c r="H23" s="385"/>
      <c r="I23" s="385"/>
      <c r="J23" s="385"/>
      <c r="K23" s="385"/>
      <c r="L23" s="385"/>
      <c r="M23" s="385"/>
      <c r="N23" s="386"/>
      <c r="O23" s="387"/>
    </row>
    <row r="24" spans="1:15" x14ac:dyDescent="0.3">
      <c r="A24" s="294" t="s">
        <v>21</v>
      </c>
      <c r="B24" s="337">
        <v>0</v>
      </c>
      <c r="C24" s="339">
        <v>105064.64</v>
      </c>
      <c r="D24" s="339">
        <v>0</v>
      </c>
      <c r="E24" s="340">
        <f t="shared" ref="E24:E34" si="5">SUM(B24:D24)</f>
        <v>105064.64</v>
      </c>
      <c r="F24" s="341">
        <f>'[1]RM&amp;G Corp &amp; Ohead Apportionment'!J32</f>
        <v>5497.311475409836</v>
      </c>
      <c r="G24" s="339">
        <v>0</v>
      </c>
      <c r="H24" s="343">
        <v>0</v>
      </c>
      <c r="I24" s="343">
        <f>'[1]CRF CCTC apportionment'!C21</f>
        <v>0</v>
      </c>
      <c r="J24" s="343">
        <f>'[1]CRF CCTC apportionment'!E21</f>
        <v>23183.538802660751</v>
      </c>
      <c r="K24" s="343">
        <v>731</v>
      </c>
      <c r="L24" s="343">
        <f>'[1]RM&amp;G Corp &amp; Ohead Apportionment'!K32+'[1]CRF CCTC apportionment'!G21</f>
        <v>1381.6667500683893</v>
      </c>
      <c r="M24" s="343">
        <v>0</v>
      </c>
      <c r="N24" s="345">
        <f t="shared" ref="N24:N34" si="6">SUM(F24:M24)</f>
        <v>30793.517028138976</v>
      </c>
      <c r="O24" s="346">
        <f t="shared" ref="O24:O34" si="7">E24+N24</f>
        <v>135858.15702813899</v>
      </c>
    </row>
    <row r="25" spans="1:15" x14ac:dyDescent="0.3">
      <c r="A25" s="294" t="s">
        <v>22</v>
      </c>
      <c r="B25" s="337">
        <v>21604</v>
      </c>
      <c r="C25" s="339">
        <v>56573.68</v>
      </c>
      <c r="D25" s="339">
        <v>0</v>
      </c>
      <c r="E25" s="340">
        <f t="shared" si="5"/>
        <v>78177.679999999993</v>
      </c>
      <c r="F25" s="341">
        <f>'[1]RM&amp;G Corp &amp; Ohead Apportionment'!J33+'[1]LABS Apportionment'!D109+'[1]Pharmacy Apportionment'!M8</f>
        <v>19228.429932989959</v>
      </c>
      <c r="G25" s="339">
        <v>2686</v>
      </c>
      <c r="H25" s="343">
        <f>'[1]CRF CCTC apportionment'!C5</f>
        <v>180308.81521739133</v>
      </c>
      <c r="I25" s="343">
        <f>'[1]CRF CCTC apportionment'!C22</f>
        <v>0</v>
      </c>
      <c r="J25" s="343">
        <f>'[1]CRF CCTC apportionment'!E22</f>
        <v>19186.376940133036</v>
      </c>
      <c r="K25" s="343">
        <v>22116</v>
      </c>
      <c r="L25" s="343">
        <f>'[1]RM&amp;G Corp &amp; Ohead Apportionment'!K33+'[1]CRF CCTC apportionment'!G22</f>
        <v>4446.104405612602</v>
      </c>
      <c r="M25" s="343">
        <v>0</v>
      </c>
      <c r="N25" s="345">
        <f t="shared" si="6"/>
        <v>247971.72649612694</v>
      </c>
      <c r="O25" s="346">
        <f t="shared" si="7"/>
        <v>326149.4064961269</v>
      </c>
    </row>
    <row r="26" spans="1:15" x14ac:dyDescent="0.3">
      <c r="A26" s="294" t="s">
        <v>23</v>
      </c>
      <c r="B26" s="337">
        <v>566540.81000000006</v>
      </c>
      <c r="C26" s="339">
        <v>911.76</v>
      </c>
      <c r="D26" s="339">
        <v>0</v>
      </c>
      <c r="E26" s="340">
        <f t="shared" si="5"/>
        <v>567452.57000000007</v>
      </c>
      <c r="F26" s="341">
        <f>'[1]RM&amp;G Corp &amp; Ohead Apportionment'!J34</f>
        <v>9732.2786885245896</v>
      </c>
      <c r="G26" s="339">
        <v>0</v>
      </c>
      <c r="H26" s="343">
        <f>'[1]CRF CCTC apportionment'!C8</f>
        <v>25159.369565217392</v>
      </c>
      <c r="I26" s="343">
        <f>'[1]CRF CCTC apportionment'!C23</f>
        <v>0</v>
      </c>
      <c r="J26" s="343">
        <f>'[1]CRF CCTC apportionment'!E23</f>
        <v>3197.7294900221727</v>
      </c>
      <c r="K26" s="343">
        <v>8202</v>
      </c>
      <c r="L26" s="343">
        <f>'[1]RM&amp;G Corp &amp; Ohead Apportionment'!K34+'[1]CRF CCTC apportionment'!G23</f>
        <v>2060.2601800142784</v>
      </c>
      <c r="M26" s="343">
        <v>0</v>
      </c>
      <c r="N26" s="345">
        <f t="shared" si="6"/>
        <v>48351.637923778435</v>
      </c>
      <c r="O26" s="346">
        <f t="shared" si="7"/>
        <v>615804.20792377845</v>
      </c>
    </row>
    <row r="27" spans="1:15" s="5" customFormat="1" x14ac:dyDescent="0.3">
      <c r="A27" s="294" t="s">
        <v>25</v>
      </c>
      <c r="B27" s="337">
        <v>0</v>
      </c>
      <c r="C27" s="339">
        <v>27893</v>
      </c>
      <c r="D27" s="339">
        <v>1550</v>
      </c>
      <c r="E27" s="340">
        <f t="shared" si="5"/>
        <v>29443</v>
      </c>
      <c r="F27" s="341">
        <f>'[1]RM&amp;G Corp &amp; Ohead Apportionment'!J37</f>
        <v>0</v>
      </c>
      <c r="G27" s="339">
        <v>0</v>
      </c>
      <c r="H27" s="343">
        <v>0</v>
      </c>
      <c r="I27" s="388">
        <v>0</v>
      </c>
      <c r="J27" s="388">
        <v>0</v>
      </c>
      <c r="K27" s="343">
        <v>107</v>
      </c>
      <c r="L27" s="343">
        <f>'[1]RM&amp;G Corp &amp; Ohead Apportionment'!K37</f>
        <v>0</v>
      </c>
      <c r="M27" s="343">
        <v>0</v>
      </c>
      <c r="N27" s="345">
        <f t="shared" si="6"/>
        <v>107</v>
      </c>
      <c r="O27" s="346">
        <f t="shared" si="7"/>
        <v>29550</v>
      </c>
    </row>
    <row r="28" spans="1:15" x14ac:dyDescent="0.3">
      <c r="A28" s="294" t="s">
        <v>26</v>
      </c>
      <c r="B28" s="337">
        <v>250</v>
      </c>
      <c r="C28" s="341">
        <v>105105.07</v>
      </c>
      <c r="D28" s="339">
        <v>0</v>
      </c>
      <c r="E28" s="340">
        <f t="shared" si="5"/>
        <v>105355.07</v>
      </c>
      <c r="F28" s="341">
        <f>'[1]RM&amp;G Corp &amp; Ohead Apportionment'!J38+'[1]Pharmacy Apportionment'!M18</f>
        <v>9843.0524873021386</v>
      </c>
      <c r="G28" s="339">
        <v>4400</v>
      </c>
      <c r="H28" s="343">
        <v>0</v>
      </c>
      <c r="I28" s="343">
        <v>0</v>
      </c>
      <c r="J28" s="343">
        <v>0</v>
      </c>
      <c r="K28" s="343">
        <v>8413</v>
      </c>
      <c r="L28" s="343">
        <f>'[1]RM&amp;G Corp &amp; Ohead Apportionment'!K38</f>
        <v>1978.8641686182668</v>
      </c>
      <c r="M28" s="343">
        <v>0</v>
      </c>
      <c r="N28" s="345">
        <f t="shared" si="6"/>
        <v>24634.916655920406</v>
      </c>
      <c r="O28" s="346">
        <f t="shared" si="7"/>
        <v>129989.98665592041</v>
      </c>
    </row>
    <row r="29" spans="1:15" s="5" customFormat="1" x14ac:dyDescent="0.3">
      <c r="A29" s="294" t="s">
        <v>27</v>
      </c>
      <c r="B29" s="337">
        <v>34081.85</v>
      </c>
      <c r="C29" s="339">
        <v>672</v>
      </c>
      <c r="D29" s="339">
        <v>3958</v>
      </c>
      <c r="E29" s="340">
        <f t="shared" si="5"/>
        <v>38711.85</v>
      </c>
      <c r="F29" s="341">
        <f>'[1]RM&amp;G Corp &amp; Ohead Apportionment'!J39</f>
        <v>8588.2786885245896</v>
      </c>
      <c r="G29" s="339">
        <v>0</v>
      </c>
      <c r="H29" s="343">
        <v>0</v>
      </c>
      <c r="I29" s="343">
        <v>0</v>
      </c>
      <c r="J29" s="343">
        <v>0</v>
      </c>
      <c r="K29" s="343">
        <v>10763</v>
      </c>
      <c r="L29" s="343">
        <f>'[1]RM&amp;G Corp &amp; Ohead Apportionment'!K39</f>
        <v>1978.8641686182668</v>
      </c>
      <c r="M29" s="343">
        <v>0</v>
      </c>
      <c r="N29" s="345">
        <f t="shared" si="6"/>
        <v>21330.142857142855</v>
      </c>
      <c r="O29" s="346">
        <f t="shared" si="7"/>
        <v>60041.992857142854</v>
      </c>
    </row>
    <row r="30" spans="1:15" x14ac:dyDescent="0.3">
      <c r="A30" s="294" t="s">
        <v>29</v>
      </c>
      <c r="B30" s="337">
        <f>46662+11768</f>
        <v>58430</v>
      </c>
      <c r="C30" s="339">
        <v>0</v>
      </c>
      <c r="D30" s="339">
        <v>0</v>
      </c>
      <c r="E30" s="340">
        <f t="shared" si="5"/>
        <v>58430</v>
      </c>
      <c r="F30" s="341">
        <f>'[1]RM&amp;G Corp &amp; Ohead Apportionment'!J40+'[1]Pharmacy Apportionment'!M6</f>
        <v>6329.175055342801</v>
      </c>
      <c r="G30" s="339">
        <v>8800</v>
      </c>
      <c r="H30" s="343">
        <v>0</v>
      </c>
      <c r="I30" s="343">
        <f>'[1]CRF CCTC apportionment'!C26</f>
        <v>0</v>
      </c>
      <c r="J30" s="343">
        <f>'[1]CRF CCTC apportionment'!E26</f>
        <v>27980.133037694013</v>
      </c>
      <c r="K30" s="343">
        <v>23319</v>
      </c>
      <c r="L30" s="343">
        <f>'[1]RM&amp;G Corp &amp; Ohead Apportionment'!K40+'[1]CRF CCTC apportionment'!G26</f>
        <v>3086.8521020570201</v>
      </c>
      <c r="M30" s="343">
        <v>0</v>
      </c>
      <c r="N30" s="345">
        <f t="shared" si="6"/>
        <v>69515.160195093835</v>
      </c>
      <c r="O30" s="346">
        <f t="shared" si="7"/>
        <v>127945.16019509383</v>
      </c>
    </row>
    <row r="31" spans="1:15" x14ac:dyDescent="0.3">
      <c r="A31" s="294" t="s">
        <v>30</v>
      </c>
      <c r="B31" s="337"/>
      <c r="C31" s="339"/>
      <c r="D31" s="339"/>
      <c r="E31" s="340">
        <f t="shared" si="5"/>
        <v>0</v>
      </c>
      <c r="F31" s="341">
        <f>'[1]RM&amp;G Corp &amp; Ohead Apportionment'!J41</f>
        <v>0</v>
      </c>
      <c r="G31" s="339">
        <v>8800</v>
      </c>
      <c r="H31" s="343">
        <v>0</v>
      </c>
      <c r="I31" s="389">
        <v>0</v>
      </c>
      <c r="J31" s="389">
        <v>0</v>
      </c>
      <c r="K31" s="343">
        <v>0</v>
      </c>
      <c r="L31" s="343">
        <f>'[1]RM&amp;G Corp &amp; Ohead Apportionment'!K41</f>
        <v>0</v>
      </c>
      <c r="M31" s="343">
        <v>12684.82</v>
      </c>
      <c r="N31" s="345">
        <f t="shared" si="6"/>
        <v>21484.82</v>
      </c>
      <c r="O31" s="346">
        <f t="shared" si="7"/>
        <v>21484.82</v>
      </c>
    </row>
    <row r="32" spans="1:15" s="5" customFormat="1" x14ac:dyDescent="0.3">
      <c r="A32" s="294" t="s">
        <v>32</v>
      </c>
      <c r="B32" s="337"/>
      <c r="C32" s="339"/>
      <c r="D32" s="339"/>
      <c r="E32" s="340">
        <f t="shared" si="5"/>
        <v>0</v>
      </c>
      <c r="F32" s="341">
        <f>'[1]RM&amp;G Corp &amp; Ohead Apportionment'!J42</f>
        <v>0</v>
      </c>
      <c r="G32" s="339">
        <v>0</v>
      </c>
      <c r="H32" s="343">
        <v>0</v>
      </c>
      <c r="I32" s="343">
        <v>0</v>
      </c>
      <c r="J32" s="343">
        <v>0</v>
      </c>
      <c r="K32" s="343">
        <v>0</v>
      </c>
      <c r="L32" s="343">
        <f>'[1]RM&amp;G Corp &amp; Ohead Apportionment'!K42</f>
        <v>0</v>
      </c>
      <c r="M32" s="343">
        <v>0</v>
      </c>
      <c r="N32" s="345">
        <f t="shared" si="6"/>
        <v>0</v>
      </c>
      <c r="O32" s="346">
        <f t="shared" si="7"/>
        <v>0</v>
      </c>
    </row>
    <row r="33" spans="1:15" x14ac:dyDescent="0.3">
      <c r="A33" s="294" t="s">
        <v>33</v>
      </c>
      <c r="B33" s="337">
        <v>16516</v>
      </c>
      <c r="C33" s="339">
        <v>0</v>
      </c>
      <c r="D33" s="339">
        <v>7850</v>
      </c>
      <c r="E33" s="340">
        <f t="shared" si="5"/>
        <v>24366</v>
      </c>
      <c r="F33" s="341">
        <f>'[1]RM&amp;G Corp &amp; Ohead Apportionment'!J43+'[1]LABS Apportionment'!D119</f>
        <v>5586.5052555815764</v>
      </c>
      <c r="G33" s="339">
        <v>8800</v>
      </c>
      <c r="H33" s="343">
        <v>0</v>
      </c>
      <c r="I33" s="343">
        <v>0</v>
      </c>
      <c r="J33" s="343">
        <v>0</v>
      </c>
      <c r="K33" s="343">
        <v>13701</v>
      </c>
      <c r="L33" s="343">
        <f>'[1]RM&amp;G Corp &amp; Ohead Apportionment'!K43</f>
        <v>1583.0913348946135</v>
      </c>
      <c r="M33" s="343">
        <v>0</v>
      </c>
      <c r="N33" s="345">
        <f t="shared" si="6"/>
        <v>29670.596590476191</v>
      </c>
      <c r="O33" s="346">
        <f t="shared" si="7"/>
        <v>54036.596590476191</v>
      </c>
    </row>
    <row r="34" spans="1:15" ht="19.5" thickBot="1" x14ac:dyDescent="0.35">
      <c r="A34" s="295" t="s">
        <v>34</v>
      </c>
      <c r="B34" s="361">
        <v>318486.90999999997</v>
      </c>
      <c r="C34" s="362">
        <v>6014.39</v>
      </c>
      <c r="D34" s="362">
        <v>-225</v>
      </c>
      <c r="E34" s="363">
        <f t="shared" si="5"/>
        <v>324276.3</v>
      </c>
      <c r="F34" s="341">
        <f>'[1]RM&amp;G Corp &amp; Ohead Apportionment'!J44+'[1]Pharmacy Apportionment'!M12</f>
        <v>10051.404686814392</v>
      </c>
      <c r="G34" s="339">
        <v>4400</v>
      </c>
      <c r="H34" s="390">
        <v>0</v>
      </c>
      <c r="I34" s="390">
        <f>'[1]CRF CCTC apportionment'!C32</f>
        <v>0</v>
      </c>
      <c r="J34" s="390">
        <f>'[1]CRF CCTC apportionment'!E32</f>
        <v>7194.8913525498883</v>
      </c>
      <c r="K34" s="390">
        <v>2106</v>
      </c>
      <c r="L34" s="343">
        <f>'[1]RM&amp;G Corp &amp; Ohead Apportionment'!K44+'[1]CRF CCTC apportionment'!G32</f>
        <v>2162.0051942592927</v>
      </c>
      <c r="M34" s="390">
        <v>0</v>
      </c>
      <c r="N34" s="391">
        <f t="shared" si="6"/>
        <v>25914.30123362357</v>
      </c>
      <c r="O34" s="368">
        <f t="shared" si="7"/>
        <v>350190.60123362357</v>
      </c>
    </row>
    <row r="35" spans="1:15" ht="19.5" thickBot="1" x14ac:dyDescent="0.35">
      <c r="A35" s="392" t="s">
        <v>79</v>
      </c>
      <c r="B35" s="370">
        <f t="shared" ref="B35:O35" si="8">SUM(B24:B34)</f>
        <v>1015909.5700000001</v>
      </c>
      <c r="C35" s="371">
        <f t="shared" si="8"/>
        <v>302234.54000000004</v>
      </c>
      <c r="D35" s="371">
        <f t="shared" si="8"/>
        <v>13133</v>
      </c>
      <c r="E35" s="372">
        <f t="shared" si="8"/>
        <v>1331277.1100000001</v>
      </c>
      <c r="F35" s="373">
        <f t="shared" si="8"/>
        <v>74856.436270489881</v>
      </c>
      <c r="G35" s="371">
        <f t="shared" si="8"/>
        <v>37886</v>
      </c>
      <c r="H35" s="375">
        <f>SUM(H24:H34)</f>
        <v>205468.1847826087</v>
      </c>
      <c r="I35" s="375">
        <f t="shared" si="8"/>
        <v>0</v>
      </c>
      <c r="J35" s="375">
        <f t="shared" si="8"/>
        <v>80742.669623059875</v>
      </c>
      <c r="K35" s="375">
        <f>SUM(K24:K34)</f>
        <v>89458</v>
      </c>
      <c r="L35" s="375">
        <f t="shared" si="8"/>
        <v>18677.708304142732</v>
      </c>
      <c r="M35" s="375">
        <f t="shared" si="8"/>
        <v>12684.82</v>
      </c>
      <c r="N35" s="377">
        <f t="shared" si="8"/>
        <v>519773.81898030121</v>
      </c>
      <c r="O35" s="378">
        <f t="shared" si="8"/>
        <v>1851050.9289803011</v>
      </c>
    </row>
    <row r="36" spans="1:15" ht="19.5" thickBot="1" x14ac:dyDescent="0.35">
      <c r="A36" s="393" t="s">
        <v>80</v>
      </c>
      <c r="B36" s="370">
        <f>B22+B35</f>
        <v>3408787.8900000006</v>
      </c>
      <c r="C36" s="371">
        <f>C22+C35</f>
        <v>1633226.25</v>
      </c>
      <c r="D36" s="371">
        <f>D22+D35</f>
        <v>406157.15</v>
      </c>
      <c r="E36" s="372">
        <f>SUM(B36:D36)</f>
        <v>5448171.290000001</v>
      </c>
      <c r="F36" s="373">
        <f t="shared" ref="F36:N36" si="9">F22+F35</f>
        <v>999962</v>
      </c>
      <c r="G36" s="371">
        <f t="shared" si="9"/>
        <v>172286</v>
      </c>
      <c r="H36" s="375">
        <f>H22+H35</f>
        <v>1157331</v>
      </c>
      <c r="I36" s="375">
        <f t="shared" si="9"/>
        <v>598893</v>
      </c>
      <c r="J36" s="375">
        <f t="shared" si="9"/>
        <v>721088</v>
      </c>
      <c r="K36" s="375">
        <f>K22+K35</f>
        <v>1232856</v>
      </c>
      <c r="L36" s="375">
        <f t="shared" si="9"/>
        <v>358754.00000000006</v>
      </c>
      <c r="M36" s="375">
        <f t="shared" si="9"/>
        <v>104623.87999999998</v>
      </c>
      <c r="N36" s="377">
        <f t="shared" si="9"/>
        <v>5345793.88</v>
      </c>
      <c r="O36" s="378">
        <f>E36+N36</f>
        <v>10793965.170000002</v>
      </c>
    </row>
    <row r="37" spans="1:15" ht="19.5" thickBot="1" x14ac:dyDescent="0.35">
      <c r="A37" s="419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</row>
    <row r="38" spans="1:15" ht="37.5" x14ac:dyDescent="0.3">
      <c r="A38" s="296" t="s">
        <v>126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94"/>
      <c r="O38" s="395"/>
    </row>
    <row r="39" spans="1:15" x14ac:dyDescent="0.3">
      <c r="A39" s="396" t="s">
        <v>38</v>
      </c>
      <c r="B39" s="339">
        <v>0</v>
      </c>
      <c r="C39" s="339">
        <v>0</v>
      </c>
      <c r="D39" s="339">
        <v>0</v>
      </c>
      <c r="E39" s="397">
        <f t="shared" ref="E39:E44" si="10">SUM(B39:D39)</f>
        <v>0</v>
      </c>
      <c r="F39" s="398">
        <v>310649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v>142690</v>
      </c>
      <c r="M39" s="339">
        <v>0</v>
      </c>
      <c r="N39" s="340">
        <f>SUM(F39:M39)</f>
        <v>453339</v>
      </c>
      <c r="O39" s="395"/>
    </row>
    <row r="40" spans="1:15" x14ac:dyDescent="0.3">
      <c r="A40" s="396" t="s">
        <v>70</v>
      </c>
      <c r="B40" s="339"/>
      <c r="C40" s="339"/>
      <c r="D40" s="339"/>
      <c r="E40" s="397"/>
      <c r="F40" s="398">
        <v>0</v>
      </c>
      <c r="G40" s="339"/>
      <c r="H40" s="339"/>
      <c r="I40" s="339"/>
      <c r="J40" s="339"/>
      <c r="K40" s="339"/>
      <c r="L40" s="339">
        <v>189759</v>
      </c>
      <c r="M40" s="339">
        <v>0</v>
      </c>
      <c r="N40" s="340">
        <f>SUM(F40:M40)</f>
        <v>189759</v>
      </c>
      <c r="O40" s="395"/>
    </row>
    <row r="41" spans="1:15" x14ac:dyDescent="0.3">
      <c r="A41" s="396" t="s">
        <v>13</v>
      </c>
      <c r="B41" s="339">
        <v>0</v>
      </c>
      <c r="C41" s="339">
        <v>0</v>
      </c>
      <c r="D41" s="339">
        <v>0</v>
      </c>
      <c r="E41" s="397">
        <f t="shared" si="10"/>
        <v>0</v>
      </c>
      <c r="F41" s="399">
        <v>258348</v>
      </c>
      <c r="G41" s="339">
        <v>0</v>
      </c>
      <c r="H41" s="339">
        <v>0</v>
      </c>
      <c r="I41" s="339">
        <v>0</v>
      </c>
      <c r="J41" s="339">
        <v>0</v>
      </c>
      <c r="K41" s="339">
        <v>0</v>
      </c>
      <c r="L41" s="339">
        <v>0</v>
      </c>
      <c r="M41" s="339">
        <v>0</v>
      </c>
      <c r="N41" s="340">
        <f t="shared" ref="N41:N44" si="11">SUM(F41:M41)</f>
        <v>258348</v>
      </c>
      <c r="O41" s="395"/>
    </row>
    <row r="42" spans="1:15" x14ac:dyDescent="0.3">
      <c r="A42" s="396" t="s">
        <v>25</v>
      </c>
      <c r="B42" s="339">
        <v>0</v>
      </c>
      <c r="C42" s="339">
        <v>0</v>
      </c>
      <c r="D42" s="339">
        <v>0</v>
      </c>
      <c r="E42" s="397">
        <f t="shared" si="10"/>
        <v>0</v>
      </c>
      <c r="F42" s="399">
        <v>65086</v>
      </c>
      <c r="G42" s="339">
        <v>0</v>
      </c>
      <c r="H42" s="339">
        <v>0</v>
      </c>
      <c r="I42" s="339">
        <v>0</v>
      </c>
      <c r="J42" s="339">
        <v>0</v>
      </c>
      <c r="K42" s="339">
        <v>0</v>
      </c>
      <c r="L42" s="339">
        <v>0</v>
      </c>
      <c r="M42" s="339">
        <v>0</v>
      </c>
      <c r="N42" s="340">
        <f t="shared" si="11"/>
        <v>65086</v>
      </c>
      <c r="O42" s="395"/>
    </row>
    <row r="43" spans="1:15" x14ac:dyDescent="0.3">
      <c r="A43" s="396" t="s">
        <v>30</v>
      </c>
      <c r="B43" s="339">
        <v>0</v>
      </c>
      <c r="C43" s="339">
        <v>0</v>
      </c>
      <c r="D43" s="339">
        <v>0</v>
      </c>
      <c r="E43" s="397">
        <f t="shared" si="10"/>
        <v>0</v>
      </c>
      <c r="F43" s="399">
        <v>187876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39">
        <v>0</v>
      </c>
      <c r="N43" s="340">
        <f t="shared" si="11"/>
        <v>187876</v>
      </c>
      <c r="O43" s="395"/>
    </row>
    <row r="44" spans="1:15" ht="38.25" thickBot="1" x14ac:dyDescent="0.35">
      <c r="A44" s="400" t="s">
        <v>40</v>
      </c>
      <c r="B44" s="401">
        <v>0</v>
      </c>
      <c r="C44" s="401">
        <v>0</v>
      </c>
      <c r="D44" s="401">
        <v>0</v>
      </c>
      <c r="E44" s="402">
        <f t="shared" si="10"/>
        <v>0</v>
      </c>
      <c r="F44" s="399">
        <v>178001</v>
      </c>
      <c r="G44" s="401">
        <v>0</v>
      </c>
      <c r="H44" s="401">
        <v>0</v>
      </c>
      <c r="I44" s="401">
        <v>0</v>
      </c>
      <c r="J44" s="401">
        <v>0</v>
      </c>
      <c r="K44" s="401">
        <v>0</v>
      </c>
      <c r="L44" s="401">
        <v>26305</v>
      </c>
      <c r="M44" s="401">
        <v>0</v>
      </c>
      <c r="N44" s="340">
        <f t="shared" si="11"/>
        <v>204306</v>
      </c>
      <c r="O44" s="395"/>
    </row>
    <row r="45" spans="1:15" ht="19.5" thickBot="1" x14ac:dyDescent="0.35">
      <c r="A45" s="297" t="s">
        <v>49</v>
      </c>
      <c r="B45" s="403">
        <f t="shared" ref="B45:N45" si="12">SUM(B39:B44)</f>
        <v>0</v>
      </c>
      <c r="C45" s="403">
        <f t="shared" si="12"/>
        <v>0</v>
      </c>
      <c r="D45" s="403">
        <f t="shared" si="12"/>
        <v>0</v>
      </c>
      <c r="E45" s="403">
        <f t="shared" si="12"/>
        <v>0</v>
      </c>
      <c r="F45" s="403">
        <f>SUM(F39:F44)</f>
        <v>999960</v>
      </c>
      <c r="G45" s="403">
        <f t="shared" si="12"/>
        <v>0</v>
      </c>
      <c r="H45" s="403">
        <f t="shared" si="12"/>
        <v>0</v>
      </c>
      <c r="I45" s="403">
        <f t="shared" si="12"/>
        <v>0</v>
      </c>
      <c r="J45" s="403">
        <f t="shared" si="12"/>
        <v>0</v>
      </c>
      <c r="K45" s="403">
        <f t="shared" si="12"/>
        <v>0</v>
      </c>
      <c r="L45" s="403">
        <f t="shared" si="12"/>
        <v>358754</v>
      </c>
      <c r="M45" s="403">
        <f t="shared" si="12"/>
        <v>0</v>
      </c>
      <c r="N45" s="404">
        <f t="shared" si="12"/>
        <v>1358714</v>
      </c>
      <c r="O45" s="395"/>
    </row>
    <row r="46" spans="1:15" x14ac:dyDescent="0.3">
      <c r="A46" s="409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</row>
    <row r="47" spans="1:15" x14ac:dyDescent="0.3">
      <c r="A47" s="4" t="s">
        <v>127</v>
      </c>
      <c r="F47" s="406"/>
      <c r="L47" s="407"/>
    </row>
    <row r="48" spans="1:15" x14ac:dyDescent="0.3">
      <c r="A48" s="4" t="s">
        <v>128</v>
      </c>
    </row>
    <row r="93" spans="2:15" x14ac:dyDescent="0.3">
      <c r="B93" s="4"/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4"/>
    </row>
  </sheetData>
  <mergeCells count="7">
    <mergeCell ref="A46:O46"/>
    <mergeCell ref="A1:O1"/>
    <mergeCell ref="A2:O2"/>
    <mergeCell ref="A3:A4"/>
    <mergeCell ref="B3:E3"/>
    <mergeCell ref="F3:O3"/>
    <mergeCell ref="A37:O37"/>
  </mergeCells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4" sqref="B24"/>
    </sheetView>
  </sheetViews>
  <sheetFormatPr defaultRowHeight="12.75" x14ac:dyDescent="0.2"/>
  <cols>
    <col min="1" max="1" width="2.140625" style="298" customWidth="1"/>
    <col min="2" max="2" width="42.85546875" style="298" customWidth="1"/>
    <col min="3" max="3" width="15.7109375" style="298" customWidth="1"/>
    <col min="4" max="4" width="83" style="298" customWidth="1"/>
    <col min="5" max="16384" width="9.140625" style="298"/>
  </cols>
  <sheetData>
    <row r="1" spans="1:4" ht="27.75" customHeight="1" x14ac:dyDescent="0.2">
      <c r="A1" s="429" t="s">
        <v>74</v>
      </c>
      <c r="B1" s="429"/>
      <c r="C1" s="429"/>
      <c r="D1" s="429"/>
    </row>
    <row r="2" spans="1:4" ht="27.75" customHeight="1" thickBot="1" x14ac:dyDescent="0.25">
      <c r="A2" s="429" t="s">
        <v>81</v>
      </c>
      <c r="B2" s="429"/>
      <c r="C2" s="429"/>
      <c r="D2" s="429"/>
    </row>
    <row r="3" spans="1:4" ht="60.75" thickBot="1" x14ac:dyDescent="0.3">
      <c r="A3" s="430" t="s">
        <v>82</v>
      </c>
      <c r="B3" s="431"/>
      <c r="C3" s="299" t="s">
        <v>83</v>
      </c>
      <c r="D3" s="300" t="s">
        <v>84</v>
      </c>
    </row>
    <row r="4" spans="1:4" ht="26.25" thickBot="1" x14ac:dyDescent="0.25">
      <c r="A4" s="432" t="s">
        <v>85</v>
      </c>
      <c r="B4" s="433"/>
      <c r="C4" s="301" t="s">
        <v>86</v>
      </c>
      <c r="D4" s="302" t="s">
        <v>87</v>
      </c>
    </row>
    <row r="5" spans="1:4" ht="26.25" thickBot="1" x14ac:dyDescent="0.25">
      <c r="A5" s="434" t="s">
        <v>88</v>
      </c>
      <c r="B5" s="435"/>
      <c r="C5" s="303" t="s">
        <v>86</v>
      </c>
      <c r="D5" s="302" t="s">
        <v>89</v>
      </c>
    </row>
    <row r="6" spans="1:4" ht="25.5" x14ac:dyDescent="0.2">
      <c r="A6" s="436" t="s">
        <v>90</v>
      </c>
      <c r="B6" s="437"/>
      <c r="C6" s="304" t="s">
        <v>86</v>
      </c>
      <c r="D6" s="305" t="s">
        <v>91</v>
      </c>
    </row>
    <row r="7" spans="1:4" ht="26.25" thickBot="1" x14ac:dyDescent="0.25">
      <c r="A7" s="438"/>
      <c r="B7" s="439"/>
      <c r="C7" s="306" t="s">
        <v>92</v>
      </c>
      <c r="D7" s="307" t="s">
        <v>93</v>
      </c>
    </row>
    <row r="8" spans="1:4" ht="26.25" thickBot="1" x14ac:dyDescent="0.25">
      <c r="A8" s="432" t="s">
        <v>94</v>
      </c>
      <c r="B8" s="433"/>
      <c r="C8" s="308" t="s">
        <v>92</v>
      </c>
      <c r="D8" s="302" t="s">
        <v>95</v>
      </c>
    </row>
    <row r="9" spans="1:4" ht="14.25" x14ac:dyDescent="0.2">
      <c r="A9" s="448" t="s">
        <v>96</v>
      </c>
      <c r="B9" s="449"/>
      <c r="C9" s="421"/>
      <c r="D9" s="422"/>
    </row>
    <row r="10" spans="1:4" ht="25.5" x14ac:dyDescent="0.2">
      <c r="A10" s="423"/>
      <c r="B10" s="309" t="s">
        <v>97</v>
      </c>
      <c r="C10" s="426" t="s">
        <v>92</v>
      </c>
      <c r="D10" s="310" t="s">
        <v>98</v>
      </c>
    </row>
    <row r="11" spans="1:4" ht="25.5" x14ac:dyDescent="0.2">
      <c r="A11" s="424"/>
      <c r="B11" s="309" t="s">
        <v>99</v>
      </c>
      <c r="C11" s="426"/>
      <c r="D11" s="310" t="s">
        <v>100</v>
      </c>
    </row>
    <row r="12" spans="1:4" ht="25.5" x14ac:dyDescent="0.2">
      <c r="A12" s="424"/>
      <c r="B12" s="311" t="s">
        <v>13</v>
      </c>
      <c r="C12" s="311" t="s">
        <v>92</v>
      </c>
      <c r="D12" s="310" t="s">
        <v>101</v>
      </c>
    </row>
    <row r="13" spans="1:4" ht="25.5" x14ac:dyDescent="0.2">
      <c r="A13" s="424"/>
      <c r="B13" s="309" t="s">
        <v>102</v>
      </c>
      <c r="C13" s="427" t="s">
        <v>92</v>
      </c>
      <c r="D13" s="310" t="s">
        <v>103</v>
      </c>
    </row>
    <row r="14" spans="1:4" ht="13.5" thickBot="1" x14ac:dyDescent="0.25">
      <c r="A14" s="425"/>
      <c r="B14" s="312" t="s">
        <v>104</v>
      </c>
      <c r="C14" s="428"/>
      <c r="D14" s="313" t="s">
        <v>105</v>
      </c>
    </row>
    <row r="15" spans="1:4" ht="26.25" thickBot="1" x14ac:dyDescent="0.25">
      <c r="A15" s="432" t="s">
        <v>106</v>
      </c>
      <c r="B15" s="433"/>
      <c r="C15" s="308" t="s">
        <v>92</v>
      </c>
      <c r="D15" s="302" t="s">
        <v>107</v>
      </c>
    </row>
    <row r="16" spans="1:4" x14ac:dyDescent="0.2">
      <c r="A16" s="440" t="s">
        <v>108</v>
      </c>
      <c r="B16" s="441"/>
      <c r="C16" s="314" t="s">
        <v>86</v>
      </c>
      <c r="D16" s="305" t="s">
        <v>109</v>
      </c>
    </row>
    <row r="17" spans="1:4" ht="25.5" x14ac:dyDescent="0.2">
      <c r="A17" s="442"/>
      <c r="B17" s="443"/>
      <c r="C17" s="311" t="s">
        <v>92</v>
      </c>
      <c r="D17" s="310" t="s">
        <v>110</v>
      </c>
    </row>
    <row r="18" spans="1:4" ht="39" thickBot="1" x14ac:dyDescent="0.25">
      <c r="A18" s="444"/>
      <c r="B18" s="445"/>
      <c r="C18" s="315" t="s">
        <v>92</v>
      </c>
      <c r="D18" s="316" t="s">
        <v>111</v>
      </c>
    </row>
    <row r="19" spans="1:4" ht="26.25" thickBot="1" x14ac:dyDescent="0.25">
      <c r="A19" s="446" t="s">
        <v>112</v>
      </c>
      <c r="B19" s="447"/>
      <c r="C19" s="315" t="s">
        <v>92</v>
      </c>
      <c r="D19" s="316" t="s">
        <v>113</v>
      </c>
    </row>
    <row r="20" spans="1:4" x14ac:dyDescent="0.2">
      <c r="A20" s="317"/>
      <c r="B20" s="317"/>
      <c r="C20" s="318"/>
      <c r="D20" s="318"/>
    </row>
  </sheetData>
  <mergeCells count="15">
    <mergeCell ref="A15:B15"/>
    <mergeCell ref="A16:B18"/>
    <mergeCell ref="A19:B19"/>
    <mergeCell ref="A8:B8"/>
    <mergeCell ref="A9:B9"/>
    <mergeCell ref="C9:D9"/>
    <mergeCell ref="A10:A14"/>
    <mergeCell ref="C10:C11"/>
    <mergeCell ref="C13:C14"/>
    <mergeCell ref="A1:D1"/>
    <mergeCell ref="A2:D2"/>
    <mergeCell ref="A3:B3"/>
    <mergeCell ref="A4:B4"/>
    <mergeCell ref="A5:B5"/>
    <mergeCell ref="A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47"/>
  <sheetViews>
    <sheetView zoomScale="80" zoomScaleNormal="80" workbookViewId="0">
      <selection activeCell="E26" sqref="E26"/>
    </sheetView>
  </sheetViews>
  <sheetFormatPr defaultRowHeight="12.75" x14ac:dyDescent="0.2"/>
  <cols>
    <col min="1" max="1" width="51.28515625" style="19" customWidth="1"/>
    <col min="2" max="2" width="15.28515625" style="20" customWidth="1"/>
    <col min="3" max="3" width="11.42578125" style="20" customWidth="1"/>
    <col min="4" max="8" width="16.5703125" style="20" customWidth="1"/>
    <col min="9" max="9" width="16.5703125" style="20" hidden="1" customWidth="1"/>
    <col min="10" max="10" width="16" style="20" customWidth="1"/>
    <col min="11" max="11" width="10.85546875" style="20" bestFit="1" customWidth="1"/>
    <col min="12" max="12" width="14.28515625" style="20" hidden="1" customWidth="1"/>
    <col min="13" max="13" width="18" style="20" hidden="1" customWidth="1"/>
    <col min="14" max="15" width="9.140625" style="19" customWidth="1"/>
    <col min="16" max="20" width="9.140625" style="19"/>
    <col min="21" max="22" width="10.7109375" style="19" bestFit="1" customWidth="1"/>
    <col min="23" max="16384" width="9.140625" style="19"/>
  </cols>
  <sheetData>
    <row r="1" spans="1:52" s="2" customFormat="1" ht="21.75" customHeight="1" thickBot="1" x14ac:dyDescent="0.25">
      <c r="A1" s="455" t="s">
        <v>58</v>
      </c>
      <c r="B1" s="455"/>
      <c r="C1" s="12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s="8" customFormat="1" ht="42" customHeight="1" thickBot="1" x14ac:dyDescent="0.35">
      <c r="A2" s="456"/>
      <c r="B2" s="456"/>
      <c r="C2" s="34"/>
      <c r="D2" s="450" t="s">
        <v>45</v>
      </c>
      <c r="E2" s="451"/>
      <c r="F2" s="451"/>
      <c r="G2" s="452"/>
      <c r="H2" s="83"/>
      <c r="I2" s="453" t="s">
        <v>44</v>
      </c>
      <c r="J2" s="34"/>
      <c r="K2" s="34"/>
      <c r="L2" s="34"/>
      <c r="M2" s="34"/>
    </row>
    <row r="3" spans="1:52" s="40" customFormat="1" ht="75.75" thickBot="1" x14ac:dyDescent="0.35">
      <c r="A3" s="35" t="s">
        <v>0</v>
      </c>
      <c r="B3" s="36" t="s">
        <v>2</v>
      </c>
      <c r="C3" s="37" t="s">
        <v>4</v>
      </c>
      <c r="D3" s="147" t="s">
        <v>46</v>
      </c>
      <c r="E3" s="148" t="s">
        <v>47</v>
      </c>
      <c r="F3" s="148" t="s">
        <v>5</v>
      </c>
      <c r="G3" s="149" t="s">
        <v>43</v>
      </c>
      <c r="H3" s="150" t="s">
        <v>57</v>
      </c>
      <c r="I3" s="454"/>
      <c r="J3" s="39" t="s">
        <v>6</v>
      </c>
      <c r="K3" s="38" t="s">
        <v>7</v>
      </c>
      <c r="L3" s="39" t="s">
        <v>8</v>
      </c>
      <c r="M3" s="38" t="s">
        <v>54</v>
      </c>
    </row>
    <row r="4" spans="1:52" s="3" customFormat="1" ht="21" x14ac:dyDescent="0.25">
      <c r="A4" s="23" t="s">
        <v>36</v>
      </c>
      <c r="B4" s="24"/>
      <c r="C4" s="28"/>
      <c r="D4" s="146"/>
      <c r="E4" s="78"/>
      <c r="F4" s="78"/>
      <c r="G4" s="76"/>
      <c r="H4" s="77"/>
      <c r="I4" s="41"/>
      <c r="J4" s="27"/>
      <c r="K4" s="25"/>
      <c r="L4" s="27"/>
      <c r="M4" s="25"/>
    </row>
    <row r="5" spans="1:52" s="4" customFormat="1" ht="18.75" x14ac:dyDescent="0.3">
      <c r="A5" s="26" t="s">
        <v>9</v>
      </c>
      <c r="B5" s="95">
        <v>12</v>
      </c>
      <c r="C5" s="96">
        <v>3</v>
      </c>
      <c r="D5" s="97">
        <v>24077</v>
      </c>
      <c r="E5" s="98">
        <v>0</v>
      </c>
      <c r="F5" s="98">
        <v>0</v>
      </c>
      <c r="G5" s="99">
        <v>24077</v>
      </c>
      <c r="H5" s="99">
        <v>48415</v>
      </c>
      <c r="I5" s="100">
        <v>72492</v>
      </c>
      <c r="J5" s="101">
        <v>8</v>
      </c>
      <c r="K5" s="135">
        <v>70</v>
      </c>
      <c r="L5" s="126">
        <v>0.5</v>
      </c>
      <c r="M5" s="21" t="s">
        <v>10</v>
      </c>
      <c r="P5" s="5"/>
      <c r="Q5" s="5"/>
      <c r="AP5" s="6">
        <v>10</v>
      </c>
      <c r="AQ5" s="6">
        <v>29</v>
      </c>
      <c r="AR5" s="6">
        <v>0</v>
      </c>
      <c r="AS5" s="6">
        <v>3</v>
      </c>
      <c r="AT5" s="6">
        <v>3.25</v>
      </c>
      <c r="AU5" s="6">
        <v>0.05</v>
      </c>
      <c r="AV5" s="6">
        <v>8</v>
      </c>
      <c r="AW5" s="6">
        <v>25</v>
      </c>
      <c r="AX5" s="6">
        <v>50</v>
      </c>
      <c r="AY5" s="6"/>
      <c r="AZ5" s="5"/>
    </row>
    <row r="6" spans="1:52" s="4" customFormat="1" ht="18.75" x14ac:dyDescent="0.3">
      <c r="A6" s="26" t="s">
        <v>11</v>
      </c>
      <c r="B6" s="95">
        <v>55</v>
      </c>
      <c r="C6" s="96">
        <v>6</v>
      </c>
      <c r="D6" s="97">
        <v>114068</v>
      </c>
      <c r="E6" s="98">
        <v>210547</v>
      </c>
      <c r="F6" s="98">
        <v>0</v>
      </c>
      <c r="G6" s="99">
        <v>324615</v>
      </c>
      <c r="H6" s="99">
        <v>63375.69</v>
      </c>
      <c r="I6" s="100">
        <v>387990.69</v>
      </c>
      <c r="J6" s="101">
        <v>33</v>
      </c>
      <c r="K6" s="135">
        <v>539</v>
      </c>
      <c r="L6" s="126">
        <v>1</v>
      </c>
      <c r="M6" s="21">
        <v>0.33</v>
      </c>
      <c r="P6" s="5"/>
      <c r="Q6" s="5"/>
      <c r="AP6" s="6">
        <v>41</v>
      </c>
      <c r="AQ6" s="6">
        <v>52</v>
      </c>
      <c r="AR6" s="6">
        <v>6</v>
      </c>
      <c r="AS6" s="6">
        <v>5</v>
      </c>
      <c r="AT6" s="6">
        <v>2.37</v>
      </c>
      <c r="AU6" s="6">
        <v>0.124</v>
      </c>
      <c r="AV6" s="6">
        <v>33</v>
      </c>
      <c r="AW6" s="6">
        <v>395</v>
      </c>
      <c r="AX6" s="6">
        <v>100</v>
      </c>
      <c r="AY6" s="6">
        <v>40</v>
      </c>
      <c r="AZ6" s="5"/>
    </row>
    <row r="7" spans="1:52" s="4" customFormat="1" ht="18.75" x14ac:dyDescent="0.3">
      <c r="A7" s="26" t="s">
        <v>41</v>
      </c>
      <c r="B7" s="95">
        <v>31</v>
      </c>
      <c r="C7" s="96">
        <v>1</v>
      </c>
      <c r="D7" s="97">
        <v>183898</v>
      </c>
      <c r="E7" s="98">
        <v>13571</v>
      </c>
      <c r="F7" s="98">
        <v>0</v>
      </c>
      <c r="G7" s="99">
        <v>197469</v>
      </c>
      <c r="H7" s="99">
        <v>73574.58</v>
      </c>
      <c r="I7" s="100">
        <v>271043.58</v>
      </c>
      <c r="J7" s="101">
        <v>30</v>
      </c>
      <c r="K7" s="135">
        <v>788</v>
      </c>
      <c r="L7" s="126">
        <v>1</v>
      </c>
      <c r="M7" s="21">
        <v>0.25</v>
      </c>
      <c r="P7" s="5"/>
      <c r="Q7" s="5"/>
      <c r="AP7" s="6"/>
      <c r="AQ7" s="6"/>
      <c r="AR7" s="6"/>
      <c r="AS7" s="6"/>
      <c r="AT7" s="6"/>
      <c r="AU7" s="6"/>
      <c r="AV7" s="6"/>
      <c r="AW7" s="6"/>
      <c r="AX7" s="6"/>
      <c r="AY7" s="6"/>
      <c r="AZ7" s="5"/>
    </row>
    <row r="8" spans="1:52" s="4" customFormat="1" ht="18.75" x14ac:dyDescent="0.3">
      <c r="A8" s="26" t="s">
        <v>12</v>
      </c>
      <c r="B8" s="95">
        <v>33</v>
      </c>
      <c r="C8" s="96">
        <v>1</v>
      </c>
      <c r="D8" s="97">
        <v>87520</v>
      </c>
      <c r="E8" s="98">
        <v>171603</v>
      </c>
      <c r="F8" s="98">
        <v>0</v>
      </c>
      <c r="G8" s="99">
        <v>259123</v>
      </c>
      <c r="H8" s="99">
        <v>137254.35999999999</v>
      </c>
      <c r="I8" s="100">
        <v>396377.36</v>
      </c>
      <c r="J8" s="101">
        <v>40</v>
      </c>
      <c r="K8" s="135">
        <v>213</v>
      </c>
      <c r="L8" s="126">
        <v>1</v>
      </c>
      <c r="M8" s="21">
        <v>0.309</v>
      </c>
      <c r="P8" s="5"/>
      <c r="Q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</row>
    <row r="9" spans="1:52" s="4" customFormat="1" ht="18.75" x14ac:dyDescent="0.3">
      <c r="A9" s="26" t="s">
        <v>13</v>
      </c>
      <c r="B9" s="95">
        <v>27</v>
      </c>
      <c r="C9" s="96">
        <v>3</v>
      </c>
      <c r="D9" s="97">
        <v>49764</v>
      </c>
      <c r="E9" s="98">
        <v>0</v>
      </c>
      <c r="F9" s="98">
        <v>0</v>
      </c>
      <c r="G9" s="99">
        <v>49764</v>
      </c>
      <c r="H9" s="99">
        <v>291700</v>
      </c>
      <c r="I9" s="100">
        <v>341464</v>
      </c>
      <c r="J9" s="101">
        <v>3</v>
      </c>
      <c r="K9" s="135">
        <v>0</v>
      </c>
      <c r="L9" s="126" t="s">
        <v>10</v>
      </c>
      <c r="M9" s="21" t="s">
        <v>10</v>
      </c>
      <c r="P9" s="5"/>
      <c r="Q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</row>
    <row r="10" spans="1:52" s="4" customFormat="1" ht="18.75" x14ac:dyDescent="0.3">
      <c r="A10" s="26" t="s">
        <v>42</v>
      </c>
      <c r="B10" s="95">
        <v>51</v>
      </c>
      <c r="C10" s="96">
        <v>8</v>
      </c>
      <c r="D10" s="97">
        <v>153995</v>
      </c>
      <c r="E10" s="98">
        <v>798550</v>
      </c>
      <c r="F10" s="98">
        <v>0</v>
      </c>
      <c r="G10" s="99">
        <v>952545</v>
      </c>
      <c r="H10" s="99">
        <v>320090</v>
      </c>
      <c r="I10" s="100">
        <v>1272635</v>
      </c>
      <c r="J10" s="101">
        <v>85</v>
      </c>
      <c r="K10" s="135">
        <v>1104</v>
      </c>
      <c r="L10" s="126">
        <v>0.89</v>
      </c>
      <c r="M10" s="21">
        <v>0.67</v>
      </c>
      <c r="P10" s="5"/>
      <c r="Q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</row>
    <row r="11" spans="1:52" s="4" customFormat="1" ht="18.75" x14ac:dyDescent="0.3">
      <c r="A11" s="26" t="s">
        <v>14</v>
      </c>
      <c r="B11" s="95">
        <v>39</v>
      </c>
      <c r="C11" s="96">
        <v>3</v>
      </c>
      <c r="D11" s="97">
        <v>163221</v>
      </c>
      <c r="E11" s="98">
        <v>6038</v>
      </c>
      <c r="F11" s="98">
        <v>0</v>
      </c>
      <c r="G11" s="99">
        <v>169259</v>
      </c>
      <c r="H11" s="99">
        <v>150461</v>
      </c>
      <c r="I11" s="100">
        <v>319720</v>
      </c>
      <c r="J11" s="101">
        <v>36</v>
      </c>
      <c r="K11" s="135">
        <v>810</v>
      </c>
      <c r="L11" s="126">
        <v>1</v>
      </c>
      <c r="M11" s="21">
        <v>0</v>
      </c>
      <c r="P11" s="5"/>
      <c r="Q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</row>
    <row r="12" spans="1:52" s="4" customFormat="1" ht="18.75" x14ac:dyDescent="0.3">
      <c r="A12" s="26" t="s">
        <v>15</v>
      </c>
      <c r="B12" s="95">
        <v>43</v>
      </c>
      <c r="C12" s="96">
        <v>0</v>
      </c>
      <c r="D12" s="97">
        <v>114595</v>
      </c>
      <c r="E12" s="98">
        <v>412</v>
      </c>
      <c r="F12" s="98">
        <v>0</v>
      </c>
      <c r="G12" s="99">
        <v>115007</v>
      </c>
      <c r="H12" s="99">
        <v>81754.75</v>
      </c>
      <c r="I12" s="100">
        <v>196761.75</v>
      </c>
      <c r="J12" s="101">
        <v>11</v>
      </c>
      <c r="K12" s="135">
        <v>642</v>
      </c>
      <c r="L12" s="126">
        <v>1</v>
      </c>
      <c r="M12" s="21" t="s">
        <v>10</v>
      </c>
      <c r="P12" s="5"/>
      <c r="Q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</row>
    <row r="13" spans="1:52" s="4" customFormat="1" ht="18.75" x14ac:dyDescent="0.3">
      <c r="A13" s="26" t="s">
        <v>16</v>
      </c>
      <c r="B13" s="95">
        <v>38</v>
      </c>
      <c r="C13" s="96">
        <v>4</v>
      </c>
      <c r="D13" s="97">
        <v>80248</v>
      </c>
      <c r="E13" s="98">
        <v>4735</v>
      </c>
      <c r="F13" s="98">
        <v>0</v>
      </c>
      <c r="G13" s="99">
        <v>84983</v>
      </c>
      <c r="H13" s="99">
        <v>12909</v>
      </c>
      <c r="I13" s="100">
        <v>97892</v>
      </c>
      <c r="J13" s="101">
        <v>6</v>
      </c>
      <c r="K13" s="135">
        <v>17</v>
      </c>
      <c r="L13" s="126">
        <v>1</v>
      </c>
      <c r="M13" s="21">
        <v>1</v>
      </c>
      <c r="P13" s="5"/>
      <c r="Q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</row>
    <row r="14" spans="1:52" s="4" customFormat="1" ht="18.75" x14ac:dyDescent="0.3">
      <c r="A14" s="26" t="s">
        <v>17</v>
      </c>
      <c r="B14" s="95">
        <v>14</v>
      </c>
      <c r="C14" s="96">
        <v>3</v>
      </c>
      <c r="D14" s="97">
        <v>130089</v>
      </c>
      <c r="E14" s="98">
        <v>66860</v>
      </c>
      <c r="F14" s="98">
        <v>0</v>
      </c>
      <c r="G14" s="99">
        <v>196949</v>
      </c>
      <c r="H14" s="99">
        <v>80056</v>
      </c>
      <c r="I14" s="100">
        <v>277005</v>
      </c>
      <c r="J14" s="101">
        <v>27</v>
      </c>
      <c r="K14" s="135">
        <v>253</v>
      </c>
      <c r="L14" s="126">
        <v>1</v>
      </c>
      <c r="M14" s="21">
        <v>0.63</v>
      </c>
      <c r="P14" s="5"/>
      <c r="Q14" s="5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5"/>
    </row>
    <row r="15" spans="1:52" s="4" customFormat="1" ht="18.75" x14ac:dyDescent="0.3">
      <c r="A15" s="26" t="s">
        <v>18</v>
      </c>
      <c r="B15" s="95">
        <v>20</v>
      </c>
      <c r="C15" s="96">
        <v>3</v>
      </c>
      <c r="D15" s="97">
        <v>228870</v>
      </c>
      <c r="E15" s="98">
        <v>93721</v>
      </c>
      <c r="F15" s="98">
        <v>15000</v>
      </c>
      <c r="G15" s="99">
        <v>337591</v>
      </c>
      <c r="H15" s="99">
        <v>47983.932666666668</v>
      </c>
      <c r="I15" s="100">
        <v>385574.93266666669</v>
      </c>
      <c r="J15" s="101">
        <v>28</v>
      </c>
      <c r="K15" s="135">
        <v>221</v>
      </c>
      <c r="L15" s="126">
        <v>0.6</v>
      </c>
      <c r="M15" s="21">
        <v>0.43</v>
      </c>
      <c r="P15" s="5"/>
      <c r="Q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</row>
    <row r="16" spans="1:52" s="4" customFormat="1" ht="18.75" x14ac:dyDescent="0.3">
      <c r="A16" s="26" t="s">
        <v>53</v>
      </c>
      <c r="B16" s="95">
        <v>33</v>
      </c>
      <c r="C16" s="96">
        <v>1</v>
      </c>
      <c r="D16" s="97">
        <v>34472</v>
      </c>
      <c r="E16" s="98">
        <v>493233</v>
      </c>
      <c r="F16" s="98">
        <v>10996</v>
      </c>
      <c r="G16" s="99">
        <v>538701</v>
      </c>
      <c r="H16" s="99">
        <v>1351172</v>
      </c>
      <c r="I16" s="100">
        <v>1889873</v>
      </c>
      <c r="J16" s="101">
        <v>159</v>
      </c>
      <c r="K16" s="135">
        <v>557</v>
      </c>
      <c r="L16" s="126">
        <v>0.96</v>
      </c>
      <c r="M16" s="21">
        <v>0.48</v>
      </c>
      <c r="P16" s="5"/>
      <c r="Q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</row>
    <row r="17" spans="1:52" s="4" customFormat="1" ht="18.75" x14ac:dyDescent="0.3">
      <c r="A17" s="26" t="s">
        <v>19</v>
      </c>
      <c r="B17" s="95">
        <v>86</v>
      </c>
      <c r="C17" s="96">
        <v>7</v>
      </c>
      <c r="D17" s="97">
        <v>33427</v>
      </c>
      <c r="E17" s="98">
        <v>107685</v>
      </c>
      <c r="F17" s="98">
        <v>0</v>
      </c>
      <c r="G17" s="99">
        <v>141112</v>
      </c>
      <c r="H17" s="99">
        <v>227875</v>
      </c>
      <c r="I17" s="100">
        <v>368987</v>
      </c>
      <c r="J17" s="101">
        <v>93</v>
      </c>
      <c r="K17" s="135">
        <v>526</v>
      </c>
      <c r="L17" s="126">
        <v>0.83</v>
      </c>
      <c r="M17" s="21">
        <v>0.28000000000000003</v>
      </c>
      <c r="P17" s="5"/>
      <c r="Q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</row>
    <row r="18" spans="1:52" s="4" customFormat="1" ht="19.5" thickBot="1" x14ac:dyDescent="0.35">
      <c r="A18" s="42" t="s">
        <v>20</v>
      </c>
      <c r="B18" s="102">
        <v>47</v>
      </c>
      <c r="C18" s="103">
        <v>3</v>
      </c>
      <c r="D18" s="104">
        <v>31500</v>
      </c>
      <c r="E18" s="105">
        <v>17384</v>
      </c>
      <c r="F18" s="105">
        <v>0</v>
      </c>
      <c r="G18" s="106">
        <v>48884</v>
      </c>
      <c r="H18" s="106">
        <v>22004</v>
      </c>
      <c r="I18" s="107">
        <v>70888</v>
      </c>
      <c r="J18" s="108">
        <v>13</v>
      </c>
      <c r="K18" s="136">
        <v>35</v>
      </c>
      <c r="L18" s="127">
        <v>1</v>
      </c>
      <c r="M18" s="22">
        <v>0</v>
      </c>
      <c r="P18" s="5"/>
      <c r="Q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</row>
    <row r="19" spans="1:52" s="4" customFormat="1" ht="21.75" thickBot="1" x14ac:dyDescent="0.35">
      <c r="A19" s="45" t="s">
        <v>50</v>
      </c>
      <c r="B19" s="46">
        <v>501</v>
      </c>
      <c r="C19" s="47">
        <v>46</v>
      </c>
      <c r="D19" s="48">
        <v>1429744</v>
      </c>
      <c r="E19" s="50">
        <v>1984339</v>
      </c>
      <c r="F19" s="50">
        <v>25996</v>
      </c>
      <c r="G19" s="49">
        <v>3440079</v>
      </c>
      <c r="H19" s="49">
        <v>2908625.3126666667</v>
      </c>
      <c r="I19" s="51">
        <v>6348704.3126666667</v>
      </c>
      <c r="J19" s="73">
        <v>572</v>
      </c>
      <c r="K19" s="137">
        <v>5775</v>
      </c>
      <c r="L19" s="128"/>
      <c r="M19" s="52"/>
      <c r="P19" s="5"/>
      <c r="Q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</row>
    <row r="20" spans="1:52" s="4" customFormat="1" ht="21" x14ac:dyDescent="0.3">
      <c r="A20" s="43" t="s">
        <v>37</v>
      </c>
      <c r="B20" s="109"/>
      <c r="C20" s="110"/>
      <c r="D20" s="111"/>
      <c r="E20" s="112"/>
      <c r="F20" s="112"/>
      <c r="G20" s="113"/>
      <c r="H20" s="113"/>
      <c r="I20" s="114"/>
      <c r="J20" s="115"/>
      <c r="K20" s="138"/>
      <c r="L20" s="129"/>
      <c r="M20" s="44"/>
      <c r="P20" s="5"/>
      <c r="Q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</row>
    <row r="21" spans="1:52" s="4" customFormat="1" ht="18.75" x14ac:dyDescent="0.3">
      <c r="A21" s="151" t="s">
        <v>21</v>
      </c>
      <c r="B21" s="95">
        <v>1</v>
      </c>
      <c r="C21" s="96">
        <v>1</v>
      </c>
      <c r="D21" s="97">
        <v>9208</v>
      </c>
      <c r="E21" s="98">
        <v>15490</v>
      </c>
      <c r="F21" s="98">
        <v>0</v>
      </c>
      <c r="G21" s="99">
        <v>24698</v>
      </c>
      <c r="H21" s="99">
        <v>11208</v>
      </c>
      <c r="I21" s="100">
        <v>35906</v>
      </c>
      <c r="J21" s="101">
        <v>7</v>
      </c>
      <c r="K21" s="135">
        <v>96</v>
      </c>
      <c r="L21" s="126">
        <v>0.67</v>
      </c>
      <c r="M21" s="21">
        <v>0</v>
      </c>
      <c r="P21" s="5"/>
      <c r="Q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</row>
    <row r="22" spans="1:52" s="4" customFormat="1" ht="18.75" x14ac:dyDescent="0.3">
      <c r="A22" s="151" t="s">
        <v>22</v>
      </c>
      <c r="B22" s="95">
        <v>22</v>
      </c>
      <c r="C22" s="96">
        <v>1</v>
      </c>
      <c r="D22" s="97">
        <v>0</v>
      </c>
      <c r="E22" s="98">
        <v>8669</v>
      </c>
      <c r="F22" s="98">
        <v>0</v>
      </c>
      <c r="G22" s="99">
        <v>8669</v>
      </c>
      <c r="H22" s="99">
        <v>26123</v>
      </c>
      <c r="I22" s="100">
        <v>34792</v>
      </c>
      <c r="J22" s="101">
        <v>14</v>
      </c>
      <c r="K22" s="135">
        <v>293</v>
      </c>
      <c r="L22" s="126">
        <v>1</v>
      </c>
      <c r="M22" s="21">
        <v>0</v>
      </c>
      <c r="P22" s="5"/>
      <c r="Q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</row>
    <row r="23" spans="1:52" s="4" customFormat="1" ht="18.75" x14ac:dyDescent="0.3">
      <c r="A23" s="151" t="s">
        <v>23</v>
      </c>
      <c r="B23" s="95">
        <v>10</v>
      </c>
      <c r="C23" s="96">
        <v>0</v>
      </c>
      <c r="D23" s="97">
        <v>590798</v>
      </c>
      <c r="E23" s="98">
        <v>2143</v>
      </c>
      <c r="F23" s="98">
        <v>0</v>
      </c>
      <c r="G23" s="99">
        <v>592941</v>
      </c>
      <c r="H23" s="99">
        <v>35033</v>
      </c>
      <c r="I23" s="100">
        <v>627974</v>
      </c>
      <c r="J23" s="101">
        <v>10</v>
      </c>
      <c r="K23" s="135">
        <v>44</v>
      </c>
      <c r="L23" s="126">
        <v>1</v>
      </c>
      <c r="M23" s="21">
        <v>0</v>
      </c>
      <c r="P23" s="5"/>
      <c r="Q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</row>
    <row r="24" spans="1:52" s="4" customFormat="1" ht="18.75" x14ac:dyDescent="0.3">
      <c r="A24" s="151" t="s">
        <v>24</v>
      </c>
      <c r="B24" s="95">
        <v>0</v>
      </c>
      <c r="C24" s="116">
        <v>0</v>
      </c>
      <c r="D24" s="97">
        <v>5788</v>
      </c>
      <c r="E24" s="98">
        <v>0</v>
      </c>
      <c r="F24" s="98">
        <v>0</v>
      </c>
      <c r="G24" s="99">
        <v>5788</v>
      </c>
      <c r="H24" s="99">
        <v>2686</v>
      </c>
      <c r="I24" s="100">
        <v>8474</v>
      </c>
      <c r="J24" s="117">
        <v>4</v>
      </c>
      <c r="K24" s="135">
        <v>42</v>
      </c>
      <c r="L24" s="126" t="s">
        <v>10</v>
      </c>
      <c r="M24" s="21" t="s">
        <v>10</v>
      </c>
      <c r="P24" s="5"/>
      <c r="Q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</row>
    <row r="25" spans="1:52" s="5" customFormat="1" ht="18.75" x14ac:dyDescent="0.3">
      <c r="A25" s="151" t="s">
        <v>25</v>
      </c>
      <c r="B25" s="95">
        <v>6</v>
      </c>
      <c r="C25" s="116">
        <v>0</v>
      </c>
      <c r="D25" s="97">
        <v>0</v>
      </c>
      <c r="E25" s="98">
        <v>0</v>
      </c>
      <c r="F25" s="98">
        <v>0</v>
      </c>
      <c r="G25" s="99">
        <v>0</v>
      </c>
      <c r="H25" s="99">
        <v>67763</v>
      </c>
      <c r="I25" s="100">
        <v>67763</v>
      </c>
      <c r="J25" s="117">
        <v>3</v>
      </c>
      <c r="K25" s="139">
        <v>464</v>
      </c>
      <c r="L25" s="126">
        <v>1</v>
      </c>
      <c r="M25" s="21" t="s">
        <v>10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2" s="4" customFormat="1" ht="18.75" x14ac:dyDescent="0.3">
      <c r="A26" s="151" t="s">
        <v>26</v>
      </c>
      <c r="B26" s="95">
        <v>12</v>
      </c>
      <c r="C26" s="116">
        <v>0</v>
      </c>
      <c r="D26" s="97">
        <v>250</v>
      </c>
      <c r="E26" s="98">
        <v>96098</v>
      </c>
      <c r="F26" s="98">
        <v>0</v>
      </c>
      <c r="G26" s="99">
        <v>96348</v>
      </c>
      <c r="H26" s="99">
        <v>18265</v>
      </c>
      <c r="I26" s="100">
        <v>114613</v>
      </c>
      <c r="J26" s="101">
        <v>9</v>
      </c>
      <c r="K26" s="135">
        <v>88</v>
      </c>
      <c r="L26" s="126">
        <v>0</v>
      </c>
      <c r="M26" s="21">
        <v>0</v>
      </c>
      <c r="P26" s="5"/>
      <c r="Q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</row>
    <row r="27" spans="1:52" s="5" customFormat="1" ht="18.75" x14ac:dyDescent="0.3">
      <c r="A27" s="151" t="s">
        <v>27</v>
      </c>
      <c r="B27" s="95" t="s">
        <v>10</v>
      </c>
      <c r="C27" s="116">
        <v>0</v>
      </c>
      <c r="D27" s="97">
        <v>20621</v>
      </c>
      <c r="E27" s="98">
        <v>3896</v>
      </c>
      <c r="F27" s="98">
        <v>0</v>
      </c>
      <c r="G27" s="99">
        <v>24517</v>
      </c>
      <c r="H27" s="99">
        <v>17349</v>
      </c>
      <c r="I27" s="100">
        <v>41866</v>
      </c>
      <c r="J27" s="117">
        <v>4</v>
      </c>
      <c r="K27" s="139">
        <v>68</v>
      </c>
      <c r="L27" s="130" t="s">
        <v>10</v>
      </c>
      <c r="M27" s="21" t="s">
        <v>28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2" s="4" customFormat="1" ht="18.75" x14ac:dyDescent="0.3">
      <c r="A28" s="151" t="s">
        <v>29</v>
      </c>
      <c r="B28" s="95">
        <v>3</v>
      </c>
      <c r="C28" s="96">
        <v>1</v>
      </c>
      <c r="D28" s="97">
        <v>24757</v>
      </c>
      <c r="E28" s="98">
        <v>5469</v>
      </c>
      <c r="F28" s="98">
        <v>0</v>
      </c>
      <c r="G28" s="99">
        <v>30226</v>
      </c>
      <c r="H28" s="99">
        <v>37764</v>
      </c>
      <c r="I28" s="100">
        <v>67990</v>
      </c>
      <c r="J28" s="101">
        <v>19</v>
      </c>
      <c r="K28" s="135">
        <v>461</v>
      </c>
      <c r="L28" s="126">
        <v>1</v>
      </c>
      <c r="M28" s="21">
        <v>0</v>
      </c>
      <c r="P28" s="5"/>
      <c r="Q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</row>
    <row r="29" spans="1:52" s="4" customFormat="1" ht="18.75" x14ac:dyDescent="0.3">
      <c r="A29" s="151" t="s">
        <v>30</v>
      </c>
      <c r="B29" s="95">
        <v>1</v>
      </c>
      <c r="C29" s="116">
        <v>0</v>
      </c>
      <c r="D29" s="97"/>
      <c r="E29" s="98"/>
      <c r="F29" s="98"/>
      <c r="G29" s="99">
        <v>0</v>
      </c>
      <c r="H29" s="99">
        <v>209814.94</v>
      </c>
      <c r="I29" s="100">
        <v>209814.94</v>
      </c>
      <c r="J29" s="101">
        <v>0</v>
      </c>
      <c r="K29" s="135" t="s">
        <v>10</v>
      </c>
      <c r="L29" s="126" t="s">
        <v>10</v>
      </c>
      <c r="M29" s="21" t="s">
        <v>10</v>
      </c>
      <c r="P29" s="5"/>
      <c r="Q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</row>
    <row r="30" spans="1:52" s="4" customFormat="1" ht="18.75" x14ac:dyDescent="0.3">
      <c r="A30" s="151" t="s">
        <v>31</v>
      </c>
      <c r="B30" s="95">
        <v>2</v>
      </c>
      <c r="C30" s="96">
        <v>1</v>
      </c>
      <c r="D30" s="97">
        <v>10206</v>
      </c>
      <c r="E30" s="98">
        <v>0</v>
      </c>
      <c r="F30" s="98">
        <v>0</v>
      </c>
      <c r="G30" s="99">
        <v>10206</v>
      </c>
      <c r="H30" s="99">
        <v>0</v>
      </c>
      <c r="I30" s="100">
        <v>10206</v>
      </c>
      <c r="J30" s="101">
        <v>4</v>
      </c>
      <c r="K30" s="135">
        <v>0</v>
      </c>
      <c r="L30" s="126" t="s">
        <v>10</v>
      </c>
      <c r="M30" s="21" t="s">
        <v>10</v>
      </c>
      <c r="P30" s="5"/>
      <c r="Q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</row>
    <row r="31" spans="1:52" s="5" customFormat="1" ht="18.75" x14ac:dyDescent="0.3">
      <c r="A31" s="151" t="s">
        <v>32</v>
      </c>
      <c r="B31" s="95">
        <v>1</v>
      </c>
      <c r="C31" s="116">
        <v>0</v>
      </c>
      <c r="D31" s="97"/>
      <c r="E31" s="98"/>
      <c r="F31" s="98"/>
      <c r="G31" s="99">
        <v>0</v>
      </c>
      <c r="H31" s="99">
        <v>0</v>
      </c>
      <c r="I31" s="100">
        <v>0</v>
      </c>
      <c r="J31" s="117">
        <v>1</v>
      </c>
      <c r="K31" s="139" t="s">
        <v>10</v>
      </c>
      <c r="L31" s="126" t="s">
        <v>10</v>
      </c>
      <c r="M31" s="21" t="s">
        <v>10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2" s="4" customFormat="1" ht="18.75" x14ac:dyDescent="0.3">
      <c r="A32" s="151" t="s">
        <v>33</v>
      </c>
      <c r="B32" s="95">
        <v>0</v>
      </c>
      <c r="C32" s="116">
        <v>0</v>
      </c>
      <c r="D32" s="97">
        <v>0</v>
      </c>
      <c r="E32" s="98">
        <v>0</v>
      </c>
      <c r="F32" s="98">
        <v>0</v>
      </c>
      <c r="G32" s="99">
        <v>0</v>
      </c>
      <c r="H32" s="99">
        <v>11219</v>
      </c>
      <c r="I32" s="100">
        <v>11219</v>
      </c>
      <c r="J32" s="101">
        <v>6</v>
      </c>
      <c r="K32" s="135">
        <v>15</v>
      </c>
      <c r="L32" s="126">
        <v>1</v>
      </c>
      <c r="M32" s="21">
        <v>0</v>
      </c>
      <c r="P32" s="5"/>
      <c r="Q32" s="5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5"/>
    </row>
    <row r="33" spans="1:65" s="4" customFormat="1" ht="19.5" thickBot="1" x14ac:dyDescent="0.35">
      <c r="A33" s="152" t="s">
        <v>34</v>
      </c>
      <c r="B33" s="102">
        <v>10</v>
      </c>
      <c r="C33" s="118">
        <v>0</v>
      </c>
      <c r="D33" s="104">
        <v>266437</v>
      </c>
      <c r="E33" s="105">
        <v>11242</v>
      </c>
      <c r="F33" s="105">
        <v>450</v>
      </c>
      <c r="G33" s="106">
        <v>278129</v>
      </c>
      <c r="H33" s="106">
        <v>10438</v>
      </c>
      <c r="I33" s="107">
        <v>288567</v>
      </c>
      <c r="J33" s="119">
        <v>11</v>
      </c>
      <c r="K33" s="140">
        <v>338</v>
      </c>
      <c r="L33" s="131">
        <v>1</v>
      </c>
      <c r="M33" s="22" t="s">
        <v>10</v>
      </c>
      <c r="P33" s="5"/>
      <c r="Q33" s="5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5"/>
    </row>
    <row r="34" spans="1:65" s="4" customFormat="1" ht="19.5" thickBot="1" x14ac:dyDescent="0.35">
      <c r="A34" s="53" t="s">
        <v>51</v>
      </c>
      <c r="B34" s="54">
        <v>62</v>
      </c>
      <c r="C34" s="54">
        <v>4</v>
      </c>
      <c r="D34" s="29">
        <v>928065</v>
      </c>
      <c r="E34" s="56">
        <v>143007</v>
      </c>
      <c r="F34" s="56">
        <v>450</v>
      </c>
      <c r="G34" s="55">
        <v>1071522</v>
      </c>
      <c r="H34" s="55">
        <v>447662.94</v>
      </c>
      <c r="I34" s="31">
        <v>1519184.94</v>
      </c>
      <c r="J34" s="30">
        <v>92</v>
      </c>
      <c r="K34" s="141">
        <v>1909</v>
      </c>
      <c r="L34" s="57"/>
      <c r="M34" s="58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5"/>
      <c r="AB34" s="5"/>
      <c r="AC34" s="5"/>
      <c r="AD34" s="5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5"/>
    </row>
    <row r="35" spans="1:65" s="4" customFormat="1" ht="21" x14ac:dyDescent="0.3">
      <c r="A35" s="84" t="s">
        <v>48</v>
      </c>
      <c r="B35" s="109"/>
      <c r="C35" s="120"/>
      <c r="D35" s="111"/>
      <c r="E35" s="112"/>
      <c r="F35" s="112"/>
      <c r="G35" s="121"/>
      <c r="H35" s="113"/>
      <c r="I35" s="114"/>
      <c r="J35" s="122"/>
      <c r="K35" s="142"/>
      <c r="L35" s="132"/>
      <c r="M35" s="44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5"/>
      <c r="AB35" s="5"/>
      <c r="AC35" s="5"/>
      <c r="AD35" s="5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5"/>
    </row>
    <row r="36" spans="1:65" s="4" customFormat="1" ht="18.75" x14ac:dyDescent="0.3">
      <c r="A36" s="85" t="s">
        <v>38</v>
      </c>
      <c r="B36" s="95"/>
      <c r="C36" s="116"/>
      <c r="D36" s="97"/>
      <c r="E36" s="98"/>
      <c r="F36" s="98"/>
      <c r="G36" s="123">
        <v>0</v>
      </c>
      <c r="H36" s="99">
        <v>325118</v>
      </c>
      <c r="I36" s="100">
        <v>325118</v>
      </c>
      <c r="J36" s="124"/>
      <c r="K36" s="143"/>
      <c r="L36" s="130"/>
      <c r="M36" s="21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5"/>
      <c r="AB36" s="5"/>
      <c r="AC36" s="5"/>
      <c r="AD36" s="5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5"/>
    </row>
    <row r="37" spans="1:65" s="4" customFormat="1" ht="18.75" x14ac:dyDescent="0.3">
      <c r="A37" s="85" t="s">
        <v>40</v>
      </c>
      <c r="B37" s="95"/>
      <c r="C37" s="116"/>
      <c r="D37" s="97"/>
      <c r="E37" s="98"/>
      <c r="F37" s="98"/>
      <c r="G37" s="123">
        <v>0</v>
      </c>
      <c r="H37" s="99">
        <v>217137</v>
      </c>
      <c r="I37" s="100">
        <v>217137</v>
      </c>
      <c r="J37" s="124"/>
      <c r="K37" s="143"/>
      <c r="L37" s="130"/>
      <c r="M37" s="21"/>
      <c r="P37" s="5"/>
      <c r="Q37" s="7"/>
      <c r="R37" s="7"/>
      <c r="S37" s="7"/>
      <c r="T37" s="7"/>
      <c r="U37" s="7"/>
      <c r="V37" s="7"/>
      <c r="W37" s="7"/>
      <c r="X37" s="7"/>
      <c r="Y37" s="7"/>
      <c r="Z37" s="7"/>
      <c r="AA37" s="5"/>
      <c r="AB37" s="5"/>
      <c r="AC37" s="5"/>
      <c r="AD37" s="5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5"/>
    </row>
    <row r="38" spans="1:65" s="4" customFormat="1" ht="19.5" thickBot="1" x14ac:dyDescent="0.35">
      <c r="A38" s="85" t="s">
        <v>39</v>
      </c>
      <c r="B38" s="95"/>
      <c r="C38" s="116"/>
      <c r="D38" s="97"/>
      <c r="E38" s="98"/>
      <c r="F38" s="98"/>
      <c r="G38" s="123">
        <v>0</v>
      </c>
      <c r="H38" s="99">
        <v>1319839</v>
      </c>
      <c r="I38" s="100">
        <v>1319839</v>
      </c>
      <c r="J38" s="124"/>
      <c r="K38" s="143"/>
      <c r="L38" s="130"/>
      <c r="M38" s="21"/>
      <c r="P38" s="5"/>
      <c r="Q38" s="7"/>
      <c r="R38" s="7"/>
      <c r="S38" s="7"/>
      <c r="T38" s="7"/>
      <c r="U38" s="7"/>
      <c r="V38" s="7"/>
      <c r="W38" s="7"/>
      <c r="X38" s="7"/>
      <c r="Y38" s="7"/>
      <c r="Z38" s="7"/>
      <c r="AA38" s="5"/>
      <c r="AB38" s="5"/>
      <c r="AC38" s="5"/>
      <c r="AD38" s="5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5"/>
    </row>
    <row r="39" spans="1:65" s="4" customFormat="1" ht="21.75" thickBot="1" x14ac:dyDescent="0.35">
      <c r="A39" s="86" t="s">
        <v>49</v>
      </c>
      <c r="B39" s="87"/>
      <c r="C39" s="88"/>
      <c r="D39" s="89">
        <v>0</v>
      </c>
      <c r="E39" s="90">
        <v>0</v>
      </c>
      <c r="F39" s="90">
        <v>0</v>
      </c>
      <c r="G39" s="91">
        <v>0</v>
      </c>
      <c r="H39" s="92">
        <v>1862094</v>
      </c>
      <c r="I39" s="93">
        <v>1862094</v>
      </c>
      <c r="J39" s="94">
        <v>0</v>
      </c>
      <c r="K39" s="144">
        <v>0</v>
      </c>
      <c r="L39" s="133"/>
      <c r="M39" s="59"/>
      <c r="P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5"/>
      <c r="AB39" s="5"/>
      <c r="AC39" s="5"/>
      <c r="AD39" s="5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5"/>
    </row>
    <row r="40" spans="1:65" s="70" customFormat="1" ht="21.75" thickBot="1" x14ac:dyDescent="0.4">
      <c r="A40" s="60" t="s">
        <v>35</v>
      </c>
      <c r="B40" s="61">
        <v>563</v>
      </c>
      <c r="C40" s="62">
        <v>50</v>
      </c>
      <c r="D40" s="63">
        <v>2357809</v>
      </c>
      <c r="E40" s="65">
        <v>2127346</v>
      </c>
      <c r="F40" s="65">
        <v>26446</v>
      </c>
      <c r="G40" s="64">
        <v>4511601</v>
      </c>
      <c r="H40" s="64">
        <v>5218382.2526666671</v>
      </c>
      <c r="I40" s="66">
        <v>9729983.2526666671</v>
      </c>
      <c r="J40" s="67">
        <v>664</v>
      </c>
      <c r="K40" s="145">
        <v>7786</v>
      </c>
      <c r="L40" s="134">
        <v>0.88600000000000001</v>
      </c>
      <c r="M40" s="69">
        <v>0.437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65" s="11" customFormat="1" ht="18.75" x14ac:dyDescent="0.3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65" s="17" customFormat="1" ht="15.75" x14ac:dyDescent="0.25">
      <c r="A42" s="13" t="s">
        <v>55</v>
      </c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65" s="17" customFormat="1" ht="15.75" x14ac:dyDescent="0.25">
      <c r="A43" s="18" t="s">
        <v>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65" x14ac:dyDescent="0.2">
      <c r="A44" s="19" t="s">
        <v>56</v>
      </c>
    </row>
    <row r="45" spans="1:65" x14ac:dyDescent="0.2">
      <c r="K45" s="32"/>
    </row>
    <row r="47" spans="1:65" x14ac:dyDescent="0.2">
      <c r="K47" s="32"/>
    </row>
  </sheetData>
  <mergeCells count="3">
    <mergeCell ref="D2:G2"/>
    <mergeCell ref="I2:I3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Return on Investment</vt:lpstr>
      <vt:lpstr>Funding Detail</vt:lpstr>
      <vt:lpstr>Apportionment Guidance</vt:lpstr>
      <vt:lpstr>Old Draft</vt:lpstr>
      <vt:lpstr>'Return on Investment'!Print_Area</vt:lpstr>
    </vt:vector>
  </TitlesOfParts>
  <Company>Sheffield Teaching Hospital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Patchett, Julie (Finance)</dc:creator>
  <cp:lastModifiedBy>Lawrence, Daniel (Research)</cp:lastModifiedBy>
  <cp:lastPrinted>2016-02-02T13:59:59Z</cp:lastPrinted>
  <dcterms:created xsi:type="dcterms:W3CDTF">2015-10-14T15:49:15Z</dcterms:created>
  <dcterms:modified xsi:type="dcterms:W3CDTF">2016-09-19T08:55:24Z</dcterms:modified>
</cp:coreProperties>
</file>